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1. Arbetsversion/01. Svenska/"/>
    </mc:Choice>
  </mc:AlternateContent>
  <xr:revisionPtr revIDLastSave="683" documentId="8_{528C45EF-E70E-4B31-A401-F2E351F0C1DD}" xr6:coauthVersionLast="47" xr6:coauthVersionMax="47" xr10:uidLastSave="{CE7656FF-7306-4F4D-92BD-70D84D49B1AB}"/>
  <bookViews>
    <workbookView xWindow="-120" yWindow="-120" windowWidth="29040" windowHeight="15840" tabRatio="783" firstSheet="3" activeTab="3" xr2:uid="{EB198E22-765A-40AF-8200-B7B6637C18EC}"/>
  </bookViews>
  <sheets>
    <sheet name="Instruktioner" sheetId="2" r:id="rId1"/>
    <sheet name="Lägg in data här alt 1." sheetId="3" state="hidden" r:id="rId2"/>
    <sheet name="Lägg in data här alt 2." sheetId="6" state="hidden" r:id="rId3"/>
    <sheet name="Lägg in data här" sheetId="7" r:id="rId4"/>
    <sheet name="Lägg in data här för kemikalier" sheetId="13" r:id="rId5"/>
    <sheet name="Nyttor från biprodukter" sheetId="17" r:id="rId6"/>
    <sheet name="Resultatpresentation i tabell" sheetId="10" r:id="rId7"/>
    <sheet name="Resultatpresentation i graf" sheetId="11" r:id="rId8"/>
    <sheet name="Graf - Nyttor" sheetId="20" state="hidden" r:id="rId9"/>
    <sheet name="Resultatpresentation av nyttor" sheetId="19" r:id="rId10"/>
    <sheet name="Referenser" sheetId="15" r:id="rId11"/>
    <sheet name="Anteckningar" sheetId="18" r:id="rId12"/>
    <sheet name="Information till rullistor" sheetId="12" state="hidden" r:id="rId13"/>
  </sheets>
  <externalReferences>
    <externalReference r:id="rId14"/>
    <externalReference r:id="rId15"/>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10" l="1"/>
  <c r="D14" i="10"/>
  <c r="C14" i="10"/>
  <c r="B14" i="10"/>
  <c r="I14" i="10" l="1"/>
  <c r="J75" i="10"/>
  <c r="J76" i="10"/>
  <c r="J77" i="10"/>
  <c r="J78" i="10"/>
  <c r="J79" i="10"/>
  <c r="J80" i="10"/>
  <c r="J81" i="10"/>
  <c r="J82" i="10"/>
  <c r="J83" i="10"/>
  <c r="J84" i="10"/>
  <c r="J85" i="10"/>
  <c r="I75" i="10"/>
  <c r="I76" i="10"/>
  <c r="I77" i="10"/>
  <c r="I78" i="10"/>
  <c r="I79" i="10"/>
  <c r="I80" i="10"/>
  <c r="I81" i="10"/>
  <c r="I82" i="10"/>
  <c r="I83" i="10"/>
  <c r="I84" i="10"/>
  <c r="I85" i="10"/>
  <c r="H75" i="10"/>
  <c r="H76" i="10"/>
  <c r="H77" i="10"/>
  <c r="H78" i="10"/>
  <c r="H79" i="10"/>
  <c r="H80" i="10"/>
  <c r="H81" i="10"/>
  <c r="H82" i="10"/>
  <c r="H83" i="10"/>
  <c r="H84" i="10"/>
  <c r="H85" i="10"/>
  <c r="B56" i="15"/>
  <c r="B55" i="15"/>
  <c r="B52" i="15"/>
  <c r="B53" i="15"/>
  <c r="B54" i="15"/>
  <c r="B40" i="15"/>
  <c r="B41" i="15"/>
  <c r="B42" i="15"/>
  <c r="B43" i="15"/>
  <c r="B44" i="15"/>
  <c r="B45" i="15"/>
  <c r="B46" i="15"/>
  <c r="B47" i="15"/>
  <c r="B48" i="15"/>
  <c r="B49" i="15"/>
  <c r="B50" i="15"/>
  <c r="B51" i="15"/>
  <c r="B39" i="15"/>
  <c r="E18" i="10"/>
  <c r="D81" i="10"/>
  <c r="D82" i="10"/>
  <c r="D83" i="10"/>
  <c r="D84" i="10"/>
  <c r="D85" i="10"/>
  <c r="D86" i="10"/>
  <c r="D87" i="10"/>
  <c r="D69" i="10"/>
  <c r="D70" i="10"/>
  <c r="D71" i="10"/>
  <c r="D72" i="10"/>
  <c r="D73" i="10"/>
  <c r="D74" i="10"/>
  <c r="D75" i="10"/>
  <c r="D76" i="10"/>
  <c r="D77" i="10"/>
  <c r="D78" i="10"/>
  <c r="D79" i="10"/>
  <c r="D80" i="10"/>
  <c r="D68" i="10"/>
  <c r="C87" i="10"/>
  <c r="C85" i="10"/>
  <c r="C86" i="10"/>
  <c r="C82" i="10"/>
  <c r="C83" i="10"/>
  <c r="C84" i="10"/>
  <c r="C69" i="10"/>
  <c r="C70" i="10"/>
  <c r="C71" i="10"/>
  <c r="C72" i="10"/>
  <c r="C73" i="10"/>
  <c r="C74" i="10"/>
  <c r="C75" i="10"/>
  <c r="C76" i="10"/>
  <c r="C77" i="10"/>
  <c r="C78" i="10"/>
  <c r="C79" i="10"/>
  <c r="C80" i="10"/>
  <c r="C81" i="10"/>
  <c r="C68" i="10"/>
  <c r="H36" i="13"/>
  <c r="E81" i="10" s="1"/>
  <c r="H37" i="13"/>
  <c r="E82" i="10" s="1"/>
  <c r="H38" i="13"/>
  <c r="E83" i="10" s="1"/>
  <c r="H28" i="13"/>
  <c r="E73" i="10" s="1"/>
  <c r="H29" i="13"/>
  <c r="E74" i="10" s="1"/>
  <c r="H27" i="13"/>
  <c r="E72" i="10" s="1"/>
  <c r="H26" i="13"/>
  <c r="E71" i="10" s="1"/>
  <c r="H35" i="13"/>
  <c r="E80" i="10" s="1"/>
  <c r="H39" i="13"/>
  <c r="E84" i="10" s="1"/>
  <c r="G64" i="15"/>
  <c r="H61" i="13"/>
  <c r="H62" i="13"/>
  <c r="H63" i="13"/>
  <c r="H64" i="13"/>
  <c r="H65" i="13"/>
  <c r="H66" i="13"/>
  <c r="H67" i="13"/>
  <c r="H68" i="13"/>
  <c r="H69" i="13"/>
  <c r="H70" i="13"/>
  <c r="H71" i="13"/>
  <c r="H72" i="13"/>
  <c r="H73" i="13"/>
  <c r="H74" i="13"/>
  <c r="H75" i="13"/>
  <c r="H76" i="13"/>
  <c r="H77" i="13"/>
  <c r="H78" i="13"/>
  <c r="H79" i="13"/>
  <c r="H80" i="13"/>
  <c r="H81" i="13"/>
  <c r="H82" i="13"/>
  <c r="H83" i="13"/>
  <c r="H84" i="13"/>
  <c r="H60" i="13"/>
  <c r="H49" i="13"/>
  <c r="H50" i="13"/>
  <c r="H48" i="13"/>
  <c r="H23" i="13"/>
  <c r="E68" i="10" s="1"/>
  <c r="H24" i="13"/>
  <c r="E69" i="10" s="1"/>
  <c r="H25" i="13"/>
  <c r="E70" i="10" s="1"/>
  <c r="H30" i="13"/>
  <c r="E75" i="10" s="1"/>
  <c r="H31" i="13"/>
  <c r="E76" i="10" s="1"/>
  <c r="H32" i="13"/>
  <c r="E77" i="10" s="1"/>
  <c r="H33" i="13"/>
  <c r="E78" i="10" s="1"/>
  <c r="H34" i="13"/>
  <c r="E79" i="10" s="1"/>
  <c r="H40" i="13"/>
  <c r="E85" i="10" s="1"/>
  <c r="H41" i="13"/>
  <c r="E86" i="10" s="1"/>
  <c r="H42" i="13"/>
  <c r="E87" i="10" s="1"/>
  <c r="I11" i="13"/>
  <c r="I12" i="13"/>
  <c r="I13" i="13"/>
  <c r="I14" i="13"/>
  <c r="I15" i="13"/>
  <c r="I16" i="13"/>
  <c r="I17" i="13"/>
  <c r="I10" i="13"/>
  <c r="I52" i="7"/>
  <c r="I53" i="7"/>
  <c r="I54" i="7"/>
  <c r="I55" i="7"/>
  <c r="I56" i="7"/>
  <c r="I57" i="7"/>
  <c r="I58" i="7"/>
  <c r="I59" i="7"/>
  <c r="I60" i="7"/>
  <c r="I61" i="7"/>
  <c r="I62" i="7"/>
  <c r="I63" i="7"/>
  <c r="I64" i="7"/>
  <c r="I51" i="7"/>
  <c r="C42" i="10"/>
  <c r="B20" i="15" s="1"/>
  <c r="D42" i="10"/>
  <c r="E42" i="10"/>
  <c r="H14" i="10" l="1"/>
  <c r="G36" i="7"/>
  <c r="F36" i="7"/>
  <c r="G37" i="7"/>
  <c r="F37" i="7"/>
  <c r="G38" i="7"/>
  <c r="F38" i="7"/>
  <c r="C63" i="10"/>
  <c r="D63" i="10"/>
  <c r="E63" i="10"/>
  <c r="F63" i="10"/>
  <c r="C64" i="10"/>
  <c r="D64" i="10"/>
  <c r="E64" i="10"/>
  <c r="F64" i="10"/>
  <c r="C65" i="10"/>
  <c r="D65" i="10"/>
  <c r="E65" i="10"/>
  <c r="F65" i="10"/>
  <c r="G18" i="15"/>
  <c r="H107" i="7"/>
  <c r="H106" i="7"/>
  <c r="C28" i="10"/>
  <c r="D28" i="10"/>
  <c r="E28" i="10"/>
  <c r="D18" i="17"/>
  <c r="C72" i="15" l="1"/>
  <c r="C65" i="15"/>
  <c r="C64" i="15"/>
  <c r="E38" i="17"/>
  <c r="D38" i="17"/>
  <c r="I52" i="10"/>
  <c r="C81" i="15"/>
  <c r="C80" i="15"/>
  <c r="E32" i="17" l="1"/>
  <c r="H32" i="17" s="1"/>
  <c r="E16" i="17"/>
  <c r="I58" i="10"/>
  <c r="H58" i="10"/>
  <c r="H18" i="17" l="1"/>
  <c r="I30" i="10"/>
  <c r="H30" i="10"/>
  <c r="H39" i="17" l="1"/>
  <c r="J30" i="10" l="1"/>
  <c r="H17" i="17"/>
  <c r="C76" i="7"/>
  <c r="C81" i="7" s="1"/>
  <c r="I40" i="10" s="1"/>
  <c r="I45" i="10" l="1"/>
  <c r="D26" i="17"/>
  <c r="H38" i="17"/>
  <c r="C10" i="20" s="1"/>
  <c r="H15" i="17"/>
  <c r="I62" i="10"/>
  <c r="I63" i="10"/>
  <c r="I64" i="10"/>
  <c r="I65" i="10"/>
  <c r="I66" i="10"/>
  <c r="I67" i="10"/>
  <c r="I68" i="10"/>
  <c r="I69" i="10"/>
  <c r="I70" i="10"/>
  <c r="I71" i="10"/>
  <c r="I72" i="10"/>
  <c r="I73" i="10"/>
  <c r="I74" i="10"/>
  <c r="H62" i="10"/>
  <c r="F31" i="15" s="1"/>
  <c r="H63" i="10"/>
  <c r="F32" i="15" s="1"/>
  <c r="H64" i="10"/>
  <c r="F33" i="15" s="1"/>
  <c r="H65" i="10"/>
  <c r="F34" i="15" s="1"/>
  <c r="H66" i="10"/>
  <c r="F35" i="15" s="1"/>
  <c r="H67" i="10"/>
  <c r="F36" i="15" s="1"/>
  <c r="H68" i="10"/>
  <c r="F37" i="15" s="1"/>
  <c r="H69" i="10"/>
  <c r="F38" i="15" s="1"/>
  <c r="H70" i="10"/>
  <c r="F39" i="15" s="1"/>
  <c r="H71" i="10"/>
  <c r="F40" i="15" s="1"/>
  <c r="H72" i="10"/>
  <c r="F41" i="15" s="1"/>
  <c r="H73" i="10"/>
  <c r="F42" i="15" s="1"/>
  <c r="H74" i="10"/>
  <c r="F43" i="15" s="1"/>
  <c r="F44" i="15"/>
  <c r="F45" i="15"/>
  <c r="F46" i="15"/>
  <c r="F47" i="15"/>
  <c r="F48" i="15"/>
  <c r="F49" i="15"/>
  <c r="F50" i="15"/>
  <c r="J63" i="10"/>
  <c r="I61" i="10"/>
  <c r="H95" i="7"/>
  <c r="I51" i="10" s="1"/>
  <c r="I44" i="10"/>
  <c r="E43" i="10"/>
  <c r="E44" i="10"/>
  <c r="E45" i="10"/>
  <c r="E46" i="10"/>
  <c r="E47" i="10"/>
  <c r="E48" i="10"/>
  <c r="E49" i="10"/>
  <c r="E50" i="10"/>
  <c r="D43" i="10"/>
  <c r="D44" i="10"/>
  <c r="D45" i="10"/>
  <c r="D46" i="10"/>
  <c r="D47" i="10"/>
  <c r="D48" i="10"/>
  <c r="D49" i="10"/>
  <c r="D50" i="10"/>
  <c r="C50" i="10"/>
  <c r="C43" i="10"/>
  <c r="C44" i="10"/>
  <c r="C45" i="10"/>
  <c r="C46" i="10"/>
  <c r="C47" i="10"/>
  <c r="C48" i="10"/>
  <c r="C49" i="10"/>
  <c r="I31" i="10"/>
  <c r="I32" i="10"/>
  <c r="I33" i="10"/>
  <c r="I29" i="10"/>
  <c r="H61" i="10"/>
  <c r="F30" i="15" s="1"/>
  <c r="I25" i="10"/>
  <c r="I26" i="10"/>
  <c r="I27" i="10"/>
  <c r="I28" i="10"/>
  <c r="I34" i="10"/>
  <c r="I35" i="10"/>
  <c r="I36" i="10"/>
  <c r="I37" i="10"/>
  <c r="H25" i="10"/>
  <c r="H26" i="10"/>
  <c r="H27" i="10"/>
  <c r="H28" i="10"/>
  <c r="H29" i="10"/>
  <c r="H31" i="10"/>
  <c r="H32" i="10"/>
  <c r="H33" i="10"/>
  <c r="H34" i="10"/>
  <c r="H35" i="10"/>
  <c r="H36" i="10"/>
  <c r="H37" i="10"/>
  <c r="E34" i="10"/>
  <c r="E35" i="10"/>
  <c r="E36" i="10"/>
  <c r="E37" i="10"/>
  <c r="E38" i="10"/>
  <c r="D34" i="10"/>
  <c r="D35" i="10"/>
  <c r="D36" i="10"/>
  <c r="D37" i="10"/>
  <c r="D38" i="10"/>
  <c r="C34" i="10"/>
  <c r="C35" i="10"/>
  <c r="C36" i="10"/>
  <c r="C37" i="10"/>
  <c r="C38" i="10"/>
  <c r="C7" i="20" l="1"/>
  <c r="J14" i="10"/>
  <c r="G18" i="10" s="1"/>
  <c r="I41" i="10"/>
  <c r="I43" i="10"/>
  <c r="J62" i="10"/>
  <c r="J25" i="10" l="1"/>
  <c r="J26" i="10"/>
  <c r="J27" i="10"/>
  <c r="J28" i="10"/>
  <c r="J29" i="10"/>
  <c r="J31" i="10"/>
  <c r="J32" i="10"/>
  <c r="J33" i="10"/>
  <c r="J34" i="10"/>
  <c r="J35" i="10"/>
  <c r="J36" i="10"/>
  <c r="J37" i="10"/>
  <c r="J64" i="10"/>
  <c r="J65" i="10"/>
  <c r="J66" i="10"/>
  <c r="J67" i="10"/>
  <c r="J68" i="10"/>
  <c r="J69" i="10"/>
  <c r="J70" i="10"/>
  <c r="J61" i="10"/>
  <c r="J71" i="10"/>
  <c r="J72" i="10"/>
  <c r="J73" i="10"/>
  <c r="J74" i="10"/>
  <c r="C113" i="7" l="1"/>
  <c r="C108" i="7"/>
  <c r="C96" i="7"/>
  <c r="I49" i="10" s="1"/>
  <c r="C90" i="7"/>
  <c r="I48" i="10" s="1"/>
  <c r="I54" i="10"/>
  <c r="I53" i="10"/>
  <c r="F59" i="10"/>
  <c r="F60" i="10"/>
  <c r="F61" i="10"/>
  <c r="F62" i="10"/>
  <c r="F58" i="10"/>
  <c r="E59" i="10"/>
  <c r="E60" i="10"/>
  <c r="E61" i="10"/>
  <c r="E62" i="10"/>
  <c r="D59" i="10"/>
  <c r="D60" i="10"/>
  <c r="D61" i="10"/>
  <c r="D62" i="10"/>
  <c r="C59" i="10"/>
  <c r="C60" i="10"/>
  <c r="C61" i="10"/>
  <c r="C62" i="10"/>
  <c r="C41" i="10"/>
  <c r="E91" i="10"/>
  <c r="E92" i="10"/>
  <c r="E90" i="10"/>
  <c r="H24" i="10"/>
  <c r="D91" i="10"/>
  <c r="D92" i="10"/>
  <c r="C91" i="10"/>
  <c r="C92" i="10"/>
  <c r="D25" i="10"/>
  <c r="E25" i="10"/>
  <c r="D26" i="10"/>
  <c r="E26" i="10"/>
  <c r="D27" i="10"/>
  <c r="E27" i="10"/>
  <c r="D29" i="10"/>
  <c r="E29" i="10"/>
  <c r="D30" i="10"/>
  <c r="E30" i="10"/>
  <c r="C25" i="10"/>
  <c r="C26" i="10"/>
  <c r="C27" i="10"/>
  <c r="C29" i="10"/>
  <c r="C30" i="10"/>
  <c r="C24" i="10"/>
  <c r="C33" i="10"/>
  <c r="I50" i="10" l="1"/>
  <c r="F9" i="17"/>
  <c r="H29" i="17"/>
  <c r="H28" i="17"/>
  <c r="H27" i="17"/>
  <c r="E9" i="17" s="1"/>
  <c r="H26" i="17"/>
  <c r="H19" i="17"/>
  <c r="H16" i="17"/>
  <c r="C8" i="20" s="1"/>
  <c r="C9" i="20" l="1"/>
  <c r="D9" i="17"/>
  <c r="L65" i="17"/>
  <c r="K65" i="17"/>
  <c r="M64" i="17"/>
  <c r="L64" i="17"/>
  <c r="K64" i="17"/>
  <c r="M63" i="17"/>
  <c r="L63" i="17"/>
  <c r="K63" i="17"/>
  <c r="M62" i="17"/>
  <c r="L62" i="17"/>
  <c r="K62" i="17"/>
  <c r="M61" i="17"/>
  <c r="L61" i="17"/>
  <c r="K61" i="17"/>
  <c r="B21" i="15"/>
  <c r="B22" i="15"/>
  <c r="B23" i="15"/>
  <c r="B24" i="15"/>
  <c r="B19" i="15"/>
  <c r="E41" i="10"/>
  <c r="D41" i="10"/>
  <c r="G14" i="10" s="1"/>
  <c r="E33" i="10"/>
  <c r="D33" i="10"/>
  <c r="E58" i="10"/>
  <c r="E14" i="10" s="1"/>
  <c r="D18" i="10" l="1"/>
  <c r="C9" i="17"/>
  <c r="M65" i="17"/>
  <c r="C4" i="20" l="1"/>
  <c r="I116" i="10"/>
  <c r="G116" i="10"/>
  <c r="I24" i="10"/>
  <c r="D24" i="10"/>
  <c r="E24" i="10"/>
  <c r="F14" i="10" l="1"/>
  <c r="C58" i="10"/>
  <c r="D58" i="10"/>
  <c r="H116" i="10"/>
  <c r="K88" i="13"/>
  <c r="L88" i="13"/>
  <c r="M88" i="13"/>
  <c r="K89" i="13"/>
  <c r="L89" i="13"/>
  <c r="M89" i="13"/>
  <c r="K90" i="13"/>
  <c r="L90" i="13"/>
  <c r="M90" i="13"/>
  <c r="K91" i="13"/>
  <c r="L91" i="13"/>
  <c r="M91" i="13"/>
  <c r="K92" i="13"/>
  <c r="L92" i="13"/>
  <c r="M92" i="13"/>
  <c r="D90" i="10"/>
  <c r="C90" i="10"/>
  <c r="F18" i="10" l="1"/>
  <c r="K14" i="10"/>
  <c r="C5" i="20"/>
  <c r="J116" i="10"/>
  <c r="J24" i="10"/>
  <c r="C6" i="20" l="1"/>
  <c r="H7" i="10" l="1"/>
  <c r="H9" i="17"/>
  <c r="I18" i="10" s="1"/>
  <c r="H11" i="10"/>
  <c r="D11" i="10"/>
  <c r="F7" i="10"/>
  <c r="D7" i="10"/>
</calcChain>
</file>

<file path=xl/sharedStrings.xml><?xml version="1.0" encoding="utf-8"?>
<sst xmlns="http://schemas.openxmlformats.org/spreadsheetml/2006/main" count="721" uniqueCount="503">
  <si>
    <t>Klimatberäkningsmodell för dricksvatten- och avloppsreningsverk</t>
  </si>
  <si>
    <t xml:space="preserve">Beräkning av klimatpåverkan per år och på anläggningsnivå. </t>
  </si>
  <si>
    <t>Anläggning:</t>
  </si>
  <si>
    <r>
      <rPr>
        <b/>
        <u/>
        <sz val="12"/>
        <color theme="1"/>
        <rFont val="Arial"/>
        <family val="2"/>
      </rPr>
      <t>Hur lägger jag till eller uppdaterar data i modellen?</t>
    </r>
    <r>
      <rPr>
        <sz val="12"/>
        <color theme="1"/>
        <rFont val="Arial"/>
        <family val="2"/>
      </rPr>
      <t xml:space="preserve">
Data läggs in i de gröna fälten i flikarna som heter "Lägg in data här" 
samt "Lägg in data här för kemikalier". Även data för transporter och 
egna emissionsfaktorer läggs in här. 
Lägg in data för en anläggning åt gången. </t>
    </r>
  </si>
  <si>
    <t>[Namn på anläggning]</t>
  </si>
  <si>
    <t>Typ av anläggning:</t>
  </si>
  <si>
    <t>[Avloppsreningsverk/vattenverk]</t>
  </si>
  <si>
    <t>Adress:</t>
  </si>
  <si>
    <t>[Ange anläggningens adress]</t>
  </si>
  <si>
    <t>Organisation:</t>
  </si>
  <si>
    <t>[Till vilken organisation hör anläggningen?]</t>
  </si>
  <si>
    <t>Kontaktperson:</t>
  </si>
  <si>
    <r>
      <rPr>
        <b/>
        <u/>
        <sz val="12"/>
        <color theme="1"/>
        <rFont val="Arial"/>
        <family val="2"/>
      </rPr>
      <t>Letar du efter mer information?</t>
    </r>
    <r>
      <rPr>
        <sz val="12"/>
        <color theme="1"/>
        <rFont val="Arial"/>
        <family val="2"/>
      </rPr>
      <t xml:space="preserve">
Är du intresserad av att veta mer om modellen kan du läsa den 
kompletterande användarmanualen som finns att ladda ned hos Svenskt Vatten.</t>
    </r>
  </si>
  <si>
    <t>[Vem har fyllt i informationen i detta dokument?]</t>
  </si>
  <si>
    <t xml:space="preserve">Årtal: </t>
  </si>
  <si>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</si>
  <si>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</si>
  <si>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</si>
  <si>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</si>
  <si>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</si>
  <si>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</si>
  <si>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</si>
  <si>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</si>
  <si>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</si>
  <si>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</si>
  <si>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</si>
  <si>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</si>
  <si>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</si>
  <si>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</si>
  <si>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</si>
  <si>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</si>
  <si>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</si>
  <si>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</si>
  <si>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</si>
  <si>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</si>
  <si>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</si>
  <si>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</si>
  <si>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</si>
  <si>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</si>
  <si>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</si>
  <si>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</si>
  <si>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</si>
  <si>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</si>
  <si>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</si>
  <si>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</si>
  <si>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</si>
  <si>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</si>
  <si>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</si>
  <si>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</si>
  <si>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</si>
  <si>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</si>
  <si>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</si>
  <si>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</si>
  <si>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</si>
  <si>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</si>
  <si>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</si>
  <si>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</si>
  <si>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</si>
  <si>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</si>
  <si>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</si>
  <si>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</si>
  <si>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</si>
  <si>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</si>
  <si>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Rapporteringsflik</t>
  </si>
  <si>
    <t>Lägg in information i de grönmarkerade fält som är relevanta för den aktuella anläggningen. Alla gröna fält behöver därmed inte vara ifyllda. 
Informationen som läggs in ska vara på årsbasis. Var uppmärksam på vilka enheter data efterfrågas i!</t>
  </si>
  <si>
    <t>Dricksvattenverk</t>
  </si>
  <si>
    <t>Avloppsreningsverk</t>
  </si>
  <si>
    <r>
      <t>Lägg in el- och värmeförbrukning i de gröna fälten som är relevanta för anläggningen. Alla gröna fält behöver inte vara ifyllda. Informationen som läggs in ska vara på årsbasis. 
Om ni inte vet ursprungsmärkning på elen, välj då nordisk residualmix. I raden längst ned ("</t>
    </r>
    <r>
      <rPr>
        <i/>
        <sz val="11"/>
        <rFont val="Calibri"/>
        <family val="2"/>
        <scheme val="minor"/>
      </rPr>
      <t>Annan</t>
    </r>
    <r>
      <rPr>
        <sz val="11"/>
        <rFont val="Calibri"/>
        <family val="2"/>
        <scheme val="minor"/>
      </rPr>
      <t>") kan ni lägga in en egen emissionsfaktor från leverantör. 
Elförbrukningen för ledningsnät ska innefatta alla pumpar uppströms och nedströms från anläggningen, till recipient eller dricksvattenkund. Inloppspumpar ingår i anläggningsdriften.</t>
    </r>
  </si>
  <si>
    <t>Elförbrukning</t>
  </si>
  <si>
    <t>Nordisk residualmix</t>
  </si>
  <si>
    <t xml:space="preserve">Vindkraft </t>
  </si>
  <si>
    <t>Solkraft</t>
  </si>
  <si>
    <t>Biogas, 
internt producerad</t>
  </si>
  <si>
    <t>Annan</t>
  </si>
  <si>
    <t>Värmeförbrukning</t>
  </si>
  <si>
    <t>Eldningsolja</t>
  </si>
  <si>
    <t>Naturgas</t>
  </si>
  <si>
    <t>Drivmedelstyp</t>
  </si>
  <si>
    <t>Förbrukning [liter/år]</t>
  </si>
  <si>
    <r>
      <t>Indirekta utsläpp, 
[kg CO</t>
    </r>
    <r>
      <rPr>
        <b/>
        <vertAlign val="subscript"/>
        <sz val="11"/>
        <rFont val="Calibri"/>
        <family val="2"/>
        <scheme val="minor"/>
      </rPr>
      <t>2</t>
    </r>
    <r>
      <rPr>
        <b/>
        <sz val="11"/>
        <rFont val="Calibri"/>
        <family val="2"/>
        <scheme val="minor"/>
      </rPr>
      <t xml:space="preserve"> e/liter]</t>
    </r>
  </si>
  <si>
    <r>
      <t>Direkta utsläpp,
[kg CO</t>
    </r>
    <r>
      <rPr>
        <b/>
        <vertAlign val="subscript"/>
        <sz val="11"/>
        <rFont val="Calibri"/>
        <family val="2"/>
        <scheme val="minor"/>
      </rPr>
      <t>2</t>
    </r>
    <r>
      <rPr>
        <b/>
        <sz val="11"/>
        <rFont val="Calibri"/>
        <family val="2"/>
        <scheme val="minor"/>
      </rPr>
      <t xml:space="preserve"> e/liter]</t>
    </r>
  </si>
  <si>
    <t>Bensin MK1</t>
  </si>
  <si>
    <t>E85</t>
  </si>
  <si>
    <t xml:space="preserve">Lägg in information om restprodukter i de gröna fälten som uppkommer vid den aktuella anläggningen. Alla gröna fält behöver inte vara ifyllda. Informationen som läggs in ska vara på årsbasis. 
Transporterna som rapporteras i denna kategori köps in av organisationen, dvs. utförs av ett logistikbolag. Företagets egna bilars klimatpåverkan rapporteras högre upp i denna flik.
Ange information om transportdistans från anläggning till avsättningsplats samt drivmedel som används under transporten. Om du inte vet vilket bränsle som används, välj diesel i rullistan. </t>
  </si>
  <si>
    <t>Fråga Kristin</t>
  </si>
  <si>
    <t>Restprodukt</t>
  </si>
  <si>
    <t>Hantering</t>
  </si>
  <si>
    <t>Vikt [ton/år]</t>
  </si>
  <si>
    <t>Transportdistans [km]</t>
  </si>
  <si>
    <t>Drivmedel lastbil 
(diesel eller fossilfritt)</t>
  </si>
  <si>
    <r>
      <t>Emissionsfaktor
[kg CO</t>
    </r>
    <r>
      <rPr>
        <b/>
        <vertAlign val="subscript"/>
        <sz val="11"/>
        <rFont val="Calibri"/>
        <family val="2"/>
        <scheme val="minor"/>
      </rPr>
      <t>2</t>
    </r>
    <r>
      <rPr>
        <b/>
        <sz val="11"/>
        <rFont val="Calibri"/>
        <family val="2"/>
        <scheme val="minor"/>
      </rPr>
      <t xml:space="preserve"> e/ton]</t>
    </r>
  </si>
  <si>
    <t>Sand</t>
  </si>
  <si>
    <t>Återvinning</t>
  </si>
  <si>
    <t>Deponi</t>
  </si>
  <si>
    <t>Aktivt kol</t>
  </si>
  <si>
    <t>Rens</t>
  </si>
  <si>
    <t>Förbränning</t>
  </si>
  <si>
    <t>Deponitäckning</t>
  </si>
  <si>
    <t>Jordtillverkning</t>
  </si>
  <si>
    <t>Spridning på åkermark</t>
  </si>
  <si>
    <t>Vattenverksslam och dylika restprodukter
 från fällning av organiska ämnen</t>
  </si>
  <si>
    <t>Kalkslam och dylika restprodukter 
från avhärdning av vatten</t>
  </si>
  <si>
    <t>Uppgradering (egen regi)</t>
  </si>
  <si>
    <t>Uppgradering (annans regi)</t>
  </si>
  <si>
    <t>Fackling</t>
  </si>
  <si>
    <t>Förbränning i panna</t>
  </si>
  <si>
    <t>Lägg in information om direkta emissioner från avloppsreningverk i sektionen nedanför. Om uppmätta värden finns att tillgå för anläggningen, fylls de värdena i i de celler märkta med "Uppmätt värde:". Finns inga uppmätta värden att tillgå beräknas uppskattade värden baserat på litteratur. För vissa delar kan ytterligare information behövas för att beräkna uppskattade värden, följ instruktionerna nedan. Om ett uppmätt och ett uppskattat värde finns ifyllda används det uppmätta värdet före det uppskattade i klimatberäkningen. Var uppmärksam på enheter som efterfrågas!</t>
  </si>
  <si>
    <r>
      <t>Vattenfas - metan (CH</t>
    </r>
    <r>
      <rPr>
        <b/>
        <vertAlign val="subscript"/>
        <sz val="11"/>
        <color theme="1"/>
        <rFont val="Calibri"/>
        <family val="2"/>
        <scheme val="minor"/>
      </rPr>
      <t>4</t>
    </r>
    <r>
      <rPr>
        <b/>
        <sz val="11"/>
        <color theme="1"/>
        <rFont val="Calibri"/>
        <family val="2"/>
        <scheme val="minor"/>
      </rPr>
      <t>)</t>
    </r>
  </si>
  <si>
    <t>Uppmätt värde:</t>
  </si>
  <si>
    <t>Metanemissioner från vattenfas:</t>
  </si>
  <si>
    <r>
      <t>kg CH</t>
    </r>
    <r>
      <rPr>
        <vertAlign val="subscript"/>
        <sz val="10"/>
        <color theme="1"/>
        <rFont val="Calibri"/>
        <family val="2"/>
        <scheme val="minor"/>
      </rPr>
      <t>4</t>
    </r>
    <r>
      <rPr>
        <sz val="10"/>
        <color theme="1"/>
        <rFont val="Calibri"/>
        <family val="2"/>
        <scheme val="minor"/>
      </rPr>
      <t>/år</t>
    </r>
  </si>
  <si>
    <r>
      <t>Nm</t>
    </r>
    <r>
      <rPr>
        <vertAlign val="superscript"/>
        <sz val="10"/>
        <color theme="1"/>
        <rFont val="Calibri"/>
        <family val="2"/>
        <scheme val="minor"/>
      </rPr>
      <t>3</t>
    </r>
    <r>
      <rPr>
        <sz val="10"/>
        <color theme="1"/>
        <rFont val="Calibri"/>
        <family val="2"/>
        <scheme val="minor"/>
      </rPr>
      <t>/år</t>
    </r>
  </si>
  <si>
    <t>Uppskattat värde:</t>
  </si>
  <si>
    <t>Ange kg COD i inkommande vatten (per år):</t>
  </si>
  <si>
    <r>
      <t>kg COD</t>
    </r>
    <r>
      <rPr>
        <vertAlign val="subscript"/>
        <sz val="10"/>
        <color theme="1"/>
        <rFont val="Calibri"/>
        <family val="2"/>
        <scheme val="minor"/>
      </rPr>
      <t>inkommande</t>
    </r>
    <r>
      <rPr>
        <sz val="10"/>
        <color theme="1"/>
        <rFont val="Calibri"/>
        <family val="2"/>
        <scheme val="minor"/>
      </rPr>
      <t>/år</t>
    </r>
  </si>
  <si>
    <t>%</t>
  </si>
  <si>
    <r>
      <t>Vattenfas - lustgas (N</t>
    </r>
    <r>
      <rPr>
        <b/>
        <vertAlign val="subscript"/>
        <sz val="11"/>
        <color theme="1"/>
        <rFont val="Calibri"/>
        <family val="2"/>
        <scheme val="minor"/>
      </rPr>
      <t>2</t>
    </r>
    <r>
      <rPr>
        <b/>
        <sz val="11"/>
        <color theme="1"/>
        <rFont val="Calibri"/>
        <family val="2"/>
        <scheme val="minor"/>
      </rPr>
      <t>O)</t>
    </r>
  </si>
  <si>
    <t>Lustgasemissioner från biologisk rening:</t>
  </si>
  <si>
    <r>
      <t>kg N</t>
    </r>
    <r>
      <rPr>
        <vertAlign val="subscript"/>
        <sz val="10"/>
        <color theme="1"/>
        <rFont val="Calibri"/>
        <family val="2"/>
        <scheme val="minor"/>
      </rPr>
      <t>2</t>
    </r>
    <r>
      <rPr>
        <sz val="10"/>
        <color theme="1"/>
        <rFont val="Calibri"/>
        <family val="2"/>
        <scheme val="minor"/>
      </rPr>
      <t>O/år</t>
    </r>
  </si>
  <si>
    <t>Uppmätta värden:</t>
  </si>
  <si>
    <r>
      <t>Separat rejektvattenrening - lustgas (N</t>
    </r>
    <r>
      <rPr>
        <b/>
        <vertAlign val="subscript"/>
        <sz val="11"/>
        <color theme="1"/>
        <rFont val="Calibri"/>
        <family val="2"/>
        <scheme val="minor"/>
      </rPr>
      <t>2</t>
    </r>
    <r>
      <rPr>
        <b/>
        <sz val="11"/>
        <color theme="1"/>
        <rFont val="Calibri"/>
        <family val="2"/>
        <scheme val="minor"/>
      </rPr>
      <t>O)</t>
    </r>
  </si>
  <si>
    <t>Lustgasemissioner från rejektvattenrening:</t>
  </si>
  <si>
    <r>
      <t>Recipient - metan (CH</t>
    </r>
    <r>
      <rPr>
        <b/>
        <vertAlign val="subscript"/>
        <sz val="11"/>
        <color theme="1"/>
        <rFont val="Calibri"/>
        <family val="2"/>
        <scheme val="minor"/>
      </rPr>
      <t>4</t>
    </r>
    <r>
      <rPr>
        <b/>
        <sz val="11"/>
        <color theme="1"/>
        <rFont val="Calibri"/>
        <family val="2"/>
        <scheme val="minor"/>
      </rPr>
      <t>) och lustgas (N</t>
    </r>
    <r>
      <rPr>
        <b/>
        <vertAlign val="subscript"/>
        <sz val="11"/>
        <color theme="1"/>
        <rFont val="Calibri"/>
        <family val="2"/>
        <scheme val="minor"/>
      </rPr>
      <t>2</t>
    </r>
    <r>
      <rPr>
        <b/>
        <sz val="11"/>
        <color theme="1"/>
        <rFont val="Calibri"/>
        <family val="2"/>
        <scheme val="minor"/>
      </rPr>
      <t>O)</t>
    </r>
  </si>
  <si>
    <t>Ange reducerad kvävemängd i rejektvattenrening:</t>
  </si>
  <si>
    <t>kg N-tot/år</t>
  </si>
  <si>
    <t>Ange mängden BOD i utgående vatten:</t>
  </si>
  <si>
    <t>Ange mängden kväve i utgående vatten:</t>
  </si>
  <si>
    <t>Resulterande emissioner</t>
  </si>
  <si>
    <t>Metanemissioner från recipient:</t>
  </si>
  <si>
    <t>Lustgasemissioner från recipient:</t>
  </si>
  <si>
    <t>Kolkälla</t>
  </si>
  <si>
    <t>Transportdistans lastbil [km]</t>
  </si>
  <si>
    <r>
      <t>Emissionsfaktor kolkälla produktion
[kg CO</t>
    </r>
    <r>
      <rPr>
        <b/>
        <vertAlign val="subscript"/>
        <sz val="11"/>
        <rFont val="Calibri"/>
        <family val="2"/>
        <scheme val="minor"/>
      </rPr>
      <t>2</t>
    </r>
    <r>
      <rPr>
        <b/>
        <sz val="11"/>
        <rFont val="Calibri"/>
        <family val="2"/>
        <scheme val="minor"/>
      </rPr>
      <t xml:space="preserve"> e/ton] </t>
    </r>
  </si>
  <si>
    <r>
      <t>Emissionsfaktor kolkälla respiration
[kg CO</t>
    </r>
    <r>
      <rPr>
        <b/>
        <vertAlign val="subscript"/>
        <sz val="11"/>
        <rFont val="Calibri"/>
        <family val="2"/>
        <scheme val="minor"/>
      </rPr>
      <t>2</t>
    </r>
    <r>
      <rPr>
        <b/>
        <sz val="11"/>
        <rFont val="Calibri"/>
        <family val="2"/>
        <scheme val="minor"/>
      </rPr>
      <t xml:space="preserve"> e/ton] </t>
    </r>
  </si>
  <si>
    <r>
      <t>Emissionsfaktor transport
[kg CO</t>
    </r>
    <r>
      <rPr>
        <b/>
        <vertAlign val="subscript"/>
        <sz val="11"/>
        <rFont val="Calibri"/>
        <family val="2"/>
        <scheme val="minor"/>
      </rPr>
      <t>2</t>
    </r>
    <r>
      <rPr>
        <b/>
        <sz val="11"/>
        <rFont val="Calibri"/>
        <family val="2"/>
        <scheme val="minor"/>
      </rPr>
      <t xml:space="preserve"> e/tonkm]</t>
    </r>
  </si>
  <si>
    <t>Metanol, fossil</t>
  </si>
  <si>
    <t>Metanol, biobaserad</t>
  </si>
  <si>
    <t>Etanol, fossil</t>
  </si>
  <si>
    <t>Etanol, biobaserad</t>
  </si>
  <si>
    <t>Sekundol/isopropanol</t>
  </si>
  <si>
    <r>
      <t>Emissionsfaktor kemikalie 
[kg CO</t>
    </r>
    <r>
      <rPr>
        <b/>
        <vertAlign val="subscript"/>
        <sz val="11"/>
        <rFont val="Calibri"/>
        <family val="2"/>
        <scheme val="minor"/>
      </rPr>
      <t>2</t>
    </r>
    <r>
      <rPr>
        <b/>
        <sz val="11"/>
        <rFont val="Calibri"/>
        <family val="2"/>
        <scheme val="minor"/>
      </rPr>
      <t xml:space="preserve"> e/ton] </t>
    </r>
  </si>
  <si>
    <t>PAC (PAX-15)</t>
  </si>
  <si>
    <t>PAC (PAX-215)</t>
  </si>
  <si>
    <t>Polymer</t>
  </si>
  <si>
    <t>Polyakrylamid</t>
  </si>
  <si>
    <t>Kemikalier</t>
  </si>
  <si>
    <t>Bränd kalk (CaO)</t>
  </si>
  <si>
    <r>
      <t>Kalksten (CaCO</t>
    </r>
    <r>
      <rPr>
        <vertAlign val="subscript"/>
        <sz val="10"/>
        <rFont val="Calibri"/>
        <family val="2"/>
        <scheme val="minor"/>
      </rPr>
      <t>3</t>
    </r>
    <r>
      <rPr>
        <sz val="10"/>
        <rFont val="Calibri"/>
        <family val="2"/>
        <scheme val="minor"/>
      </rPr>
      <t>)</t>
    </r>
  </si>
  <si>
    <t xml:space="preserve">Klor </t>
  </si>
  <si>
    <t>Aktivt kol, fossilt ursprung</t>
  </si>
  <si>
    <t>Svavelsyra (96%)</t>
  </si>
  <si>
    <t>Ammoniumsulfat</t>
  </si>
  <si>
    <t>Syrgas</t>
  </si>
  <si>
    <t>Natriumsilikat</t>
  </si>
  <si>
    <t>Natriumkarbonat</t>
  </si>
  <si>
    <t>Koldioxid</t>
  </si>
  <si>
    <t>Natriumbisulfit</t>
  </si>
  <si>
    <t>Citronsyra</t>
  </si>
  <si>
    <t>Frivillig rapporteringsflik</t>
  </si>
  <si>
    <r>
      <t xml:space="preserve">Lägg in information om återvunna restprodukter för den aktuella anläggningen i de gröna fälten. Alla gröna fält behöver inte vara ifyllda. 
Informationen som läggs in ska vara på årsbasis. Den beräknade potentiella klimatnyttan ska </t>
    </r>
    <r>
      <rPr>
        <b/>
        <sz val="11"/>
        <color theme="1"/>
        <rFont val="Calibri"/>
        <family val="2"/>
        <scheme val="minor"/>
      </rPr>
      <t>inte</t>
    </r>
    <r>
      <rPr>
        <sz val="11"/>
        <color theme="1"/>
        <rFont val="Calibri"/>
        <family val="2"/>
        <scheme val="minor"/>
      </rPr>
      <t xml:space="preserve"> adderas till resultatet i föregående flikar. </t>
    </r>
  </si>
  <si>
    <t xml:space="preserve">Beräknad potentiell klimatnytta för det aktuella året </t>
  </si>
  <si>
    <t>Hanteringsmetod</t>
  </si>
  <si>
    <t>Specifikation</t>
  </si>
  <si>
    <t>Kvalitetsfaktor</t>
  </si>
  <si>
    <r>
      <t>Potentiell klimatnytta 
[kg CO</t>
    </r>
    <r>
      <rPr>
        <b/>
        <vertAlign val="subscript"/>
        <sz val="11"/>
        <rFont val="Calibri"/>
        <family val="2"/>
        <scheme val="minor"/>
      </rPr>
      <t>2</t>
    </r>
    <r>
      <rPr>
        <b/>
        <sz val="11"/>
        <rFont val="Calibri"/>
        <family val="2"/>
        <scheme val="minor"/>
      </rPr>
      <t xml:space="preserve"> e/år]</t>
    </r>
  </si>
  <si>
    <t>Överskottsel såld på nätet</t>
  </si>
  <si>
    <t xml:space="preserve">Såld el till nätet ersätter nordisk residualmix. </t>
  </si>
  <si>
    <t>Överskottsvärme såld till industri eller hushåll*</t>
  </si>
  <si>
    <t xml:space="preserve">Såld värme ersätter lokal fjärrvärmemix. </t>
  </si>
  <si>
    <t>Avloppsslam</t>
  </si>
  <si>
    <t>Årsvolymer [ton]</t>
  </si>
  <si>
    <r>
      <t>Emissionsfaktor 
undviken produktion 
[kg CO</t>
    </r>
    <r>
      <rPr>
        <b/>
        <vertAlign val="subscript"/>
        <sz val="11"/>
        <rFont val="Calibri"/>
        <family val="2"/>
        <scheme val="minor"/>
      </rPr>
      <t>2</t>
    </r>
    <r>
      <rPr>
        <b/>
        <sz val="11"/>
        <rFont val="Calibri"/>
        <family val="2"/>
        <scheme val="minor"/>
      </rPr>
      <t xml:space="preserve"> e/ton]</t>
    </r>
  </si>
  <si>
    <r>
      <t>Komposterat avloppsslam ersätter torv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 xml:space="preserve">). </t>
    </r>
  </si>
  <si>
    <t>Baserat på vikt/volym-förhållande</t>
  </si>
  <si>
    <t>Spridning på åkermark, kväve (N) som tot-N</t>
  </si>
  <si>
    <t>Kväve i slam ersätter AN.</t>
  </si>
  <si>
    <t>Spridning på åkermark, fosfor (P) som tot-P</t>
  </si>
  <si>
    <t>Fosfor i slam ersätter TSP.</t>
  </si>
  <si>
    <t>Restprodukter från vattenverk</t>
  </si>
  <si>
    <t xml:space="preserve">Potentiella klimatnyttor från vattenverk uppstår vid återvinning av kalkgranuler från avhärdning av vatten. Ange mängd kalkslam som går till återvinning.  </t>
  </si>
  <si>
    <t>Fraktion och hanteringsmetod</t>
  </si>
  <si>
    <t xml:space="preserve">Återvunna kalkgranuler ersätter kalksten. </t>
  </si>
  <si>
    <t>Resultatpresentation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</si>
  <si>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renat vatten</t>
    </r>
  </si>
  <si>
    <r>
      <t>Kg CO</t>
    </r>
    <r>
      <rPr>
        <b/>
        <vertAlign val="subscript"/>
        <sz val="11"/>
        <color theme="1"/>
        <rFont val="Calibri"/>
        <family val="2"/>
        <scheme val="minor"/>
      </rPr>
      <t>2</t>
    </r>
    <r>
      <rPr>
        <b/>
        <sz val="11"/>
        <color theme="1"/>
        <rFont val="Calibri"/>
        <family val="2"/>
        <scheme val="minor"/>
      </rPr>
      <t xml:space="preserve"> e per kg reducerat kväve</t>
    </r>
  </si>
  <si>
    <r>
      <t>Kg CO</t>
    </r>
    <r>
      <rPr>
        <b/>
        <vertAlign val="subscript"/>
        <sz val="11"/>
        <color theme="1"/>
        <rFont val="Calibri"/>
        <family val="2"/>
        <scheme val="minor"/>
      </rPr>
      <t>2</t>
    </r>
    <r>
      <rPr>
        <b/>
        <sz val="11"/>
        <color theme="1"/>
        <rFont val="Calibri"/>
        <family val="2"/>
        <scheme val="minor"/>
      </rPr>
      <t xml:space="preserve"> e per personekvivalent</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</si>
  <si>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producerat vatten</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</si>
  <si>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distribuerat vatten</t>
    </r>
  </si>
  <si>
    <t>Indirekta utsläpp från produktion av kemikalier</t>
  </si>
  <si>
    <t>Inköpta transporter, av logistikbolag</t>
  </si>
  <si>
    <t>El-, värme- och fjärrkylaförbrukning</t>
  </si>
  <si>
    <t>Direkta emissioner från företagsägda bilar, reservkraft och värme</t>
  </si>
  <si>
    <t>Indirekta emissioner från företagsägda bilar och reservkraft</t>
  </si>
  <si>
    <r>
      <t>Direkta emissioner av CO</t>
    </r>
    <r>
      <rPr>
        <b/>
        <vertAlign val="subscript"/>
        <sz val="11"/>
        <color theme="1"/>
        <rFont val="Calibri"/>
        <family val="2"/>
        <scheme val="minor"/>
      </rPr>
      <t>2</t>
    </r>
    <r>
      <rPr>
        <b/>
        <sz val="11"/>
        <color theme="1"/>
        <rFont val="Calibri"/>
        <family val="2"/>
        <scheme val="minor"/>
      </rPr>
      <t xml:space="preserve"> från respiration av kolkälla</t>
    </r>
  </si>
  <si>
    <r>
      <t>Direkta emissioner av N</t>
    </r>
    <r>
      <rPr>
        <b/>
        <vertAlign val="subscript"/>
        <sz val="11"/>
        <color theme="1"/>
        <rFont val="Calibri"/>
        <family val="2"/>
        <scheme val="minor"/>
      </rPr>
      <t>2</t>
    </r>
    <r>
      <rPr>
        <b/>
        <sz val="11"/>
        <color theme="1"/>
        <rFont val="Calibri"/>
        <family val="2"/>
        <scheme val="minor"/>
      </rPr>
      <t>O</t>
    </r>
  </si>
  <si>
    <r>
      <t>Direkta emissioner av CH</t>
    </r>
    <r>
      <rPr>
        <b/>
        <vertAlign val="subscript"/>
        <sz val="11"/>
        <color theme="1"/>
        <rFont val="Calibri"/>
        <family val="2"/>
        <scheme val="minor"/>
      </rPr>
      <t>4</t>
    </r>
  </si>
  <si>
    <t>Emissioner från restprodukter</t>
  </si>
  <si>
    <t>Detaljerad resultatpresentation</t>
  </si>
  <si>
    <r>
      <t>Ledningsnät [kg CO</t>
    </r>
    <r>
      <rPr>
        <b/>
        <vertAlign val="subscript"/>
        <sz val="11"/>
        <color theme="1"/>
        <rFont val="Calibri"/>
        <family val="2"/>
        <scheme val="minor"/>
      </rPr>
      <t>2</t>
    </r>
    <r>
      <rPr>
        <b/>
        <sz val="11"/>
        <color theme="1"/>
        <rFont val="Calibri"/>
        <family val="2"/>
        <scheme val="minor"/>
      </rPr>
      <t xml:space="preserve"> e/år]</t>
    </r>
  </si>
  <si>
    <r>
      <t>Drift [kg CO</t>
    </r>
    <r>
      <rPr>
        <b/>
        <vertAlign val="subscript"/>
        <sz val="11"/>
        <color theme="1"/>
        <rFont val="Calibri"/>
        <family val="2"/>
        <scheme val="minor"/>
      </rPr>
      <t>2</t>
    </r>
    <r>
      <rPr>
        <b/>
        <sz val="11"/>
        <color theme="1"/>
        <rFont val="Calibri"/>
        <family val="2"/>
        <scheme val="minor"/>
      </rPr>
      <t xml:space="preserve"> e/år]</t>
    </r>
  </si>
  <si>
    <r>
      <t>Värme indirekt [kg CO</t>
    </r>
    <r>
      <rPr>
        <b/>
        <vertAlign val="subscript"/>
        <sz val="11"/>
        <color theme="1"/>
        <rFont val="Calibri"/>
        <family val="2"/>
        <scheme val="minor"/>
      </rPr>
      <t>2</t>
    </r>
    <r>
      <rPr>
        <b/>
        <sz val="11"/>
        <color theme="1"/>
        <rFont val="Calibri"/>
        <family val="2"/>
        <scheme val="minor"/>
      </rPr>
      <t xml:space="preserve"> e/år]</t>
    </r>
  </si>
  <si>
    <r>
      <t>Värme direkt [kg CO</t>
    </r>
    <r>
      <rPr>
        <b/>
        <vertAlign val="subscript"/>
        <sz val="11"/>
        <color theme="1"/>
        <rFont val="Calibri"/>
        <family val="2"/>
        <scheme val="minor"/>
      </rPr>
      <t>2</t>
    </r>
    <r>
      <rPr>
        <b/>
        <sz val="11"/>
        <color theme="1"/>
        <rFont val="Calibri"/>
        <family val="2"/>
        <scheme val="minor"/>
      </rPr>
      <t xml:space="preserve"> e/år]</t>
    </r>
  </si>
  <si>
    <t>Förtydligande</t>
  </si>
  <si>
    <t>Restprodukter [kg CO2 e/år]</t>
  </si>
  <si>
    <t>Transporter [kg CO2 e/år]</t>
  </si>
  <si>
    <t>Polymer [kg CO2 e/år]</t>
  </si>
  <si>
    <t>Övriga kemikalier</t>
  </si>
  <si>
    <t>Kemikalie [kg CO2 e/år]</t>
  </si>
  <si>
    <t>Vattenverksslam</t>
  </si>
  <si>
    <t>Fällningskemikalier</t>
  </si>
  <si>
    <t>[kg CO2 e/år]</t>
  </si>
  <si>
    <t>Metanemissioner från vattenfas</t>
  </si>
  <si>
    <t>Lustgasemissioner från vattenfas</t>
  </si>
  <si>
    <t>Lustgasemissioner separat rejektvattenrening</t>
  </si>
  <si>
    <t>Indirekt [kg CO2 e/år]</t>
  </si>
  <si>
    <t>Direkt [kg CO2 e/år]</t>
  </si>
  <si>
    <t>Metanemissioner från rötkammare</t>
  </si>
  <si>
    <t>Metanemissioner från slamlager</t>
  </si>
  <si>
    <t>Metanemissioner från recipient</t>
  </si>
  <si>
    <r>
      <t xml:space="preserve">Lustgasemissioner från </t>
    </r>
    <r>
      <rPr>
        <sz val="11"/>
        <color theme="1"/>
        <rFont val="Calibri"/>
        <family val="2"/>
        <scheme val="minor"/>
      </rPr>
      <t>recipient</t>
    </r>
  </si>
  <si>
    <t>Referenser</t>
  </si>
  <si>
    <t>För fullständiga referenser, se den kompletterande användarmanualen.</t>
  </si>
  <si>
    <t>Källa</t>
  </si>
  <si>
    <t>Värmekälla</t>
  </si>
  <si>
    <t>Vattenfall (2021)</t>
  </si>
  <si>
    <t>Vattenfall (2019)</t>
  </si>
  <si>
    <t>Kolkällor</t>
  </si>
  <si>
    <t>Metanolproduktion, globalt medelvärde (Ecoinvent, 2021)</t>
  </si>
  <si>
    <t>Arom Dekor (2020)</t>
  </si>
  <si>
    <t>Etanol, som biprodukt från etylenproduktion, europeiskt medelvärde (Ecoinvent, 2021)</t>
  </si>
  <si>
    <t>Etanolproduktion från trä, svenskt medelvärde (Ecoinvent, 2021)</t>
  </si>
  <si>
    <t>Produktion av isopropanol, europeiskt medelvärde (Ecoinvent, 2021)</t>
  </si>
  <si>
    <t>Emissioner från respiration</t>
  </si>
  <si>
    <t>Beräkningar enligt verktyg från VA-teknik Södra (2021)</t>
  </si>
  <si>
    <t>Restprodukter</t>
  </si>
  <si>
    <t>Sand, deponi</t>
  </si>
  <si>
    <t>Inert material på deponi, europeiskt medelvärde (Sphera, 2021)</t>
  </si>
  <si>
    <t>Rens, förbränning</t>
  </si>
  <si>
    <t>Avloppsslam, till avfallsförbränningsanläggning</t>
  </si>
  <si>
    <t xml:space="preserve">Modifierad data från Sphera, Förbränning av hushållsavfall exklusive plastfraktionen. Resterande fraktioner till stor del organiskt, papper, övrigt. </t>
  </si>
  <si>
    <t>Avloppsslam, till deponitäckning</t>
  </si>
  <si>
    <t xml:space="preserve">Grundestam et al. (2020) </t>
  </si>
  <si>
    <t>Avloppsslam, till jordtillverkning</t>
  </si>
  <si>
    <t>Avloppsslam, spridning på åkermark</t>
  </si>
  <si>
    <t>Vattenverksslam, till deponi</t>
  </si>
  <si>
    <t>Kalkslam, till deponi</t>
  </si>
  <si>
    <t>Biogas, till uppgradering</t>
  </si>
  <si>
    <t>IPCC (2019)</t>
  </si>
  <si>
    <t>Biogas, till förbränning i panna</t>
  </si>
  <si>
    <t>Brown et al (2010)</t>
  </si>
  <si>
    <t>Produktion av polyakrylamid, globalt medelvärde (Ecoinvent, 2021)</t>
  </si>
  <si>
    <t>Transporter</t>
  </si>
  <si>
    <t>Bränd kalk, tyskt medelvärde (Sphera, 2021)</t>
  </si>
  <si>
    <t>Lastbil, dieseldriven</t>
  </si>
  <si>
    <t>NTM (2020)</t>
  </si>
  <si>
    <t>Kalciumhydroxid, tyskt medelvärde (Sphera, 2021)</t>
  </si>
  <si>
    <t>Lastbil, HVO</t>
  </si>
  <si>
    <t>Potentiella klimatnyttor</t>
  </si>
  <si>
    <t>Värme</t>
  </si>
  <si>
    <t>Jord</t>
  </si>
  <si>
    <t>Torv för odlingssyfte, globalt medelvärde (Ecoinvent, 2021)</t>
  </si>
  <si>
    <t>Handelsgödsel, kväve</t>
  </si>
  <si>
    <t>Ammoniumnitrat, europeiskt medelvärde (Ecoinvent, 2021)</t>
  </si>
  <si>
    <t>Handelsgödsel, fosfor</t>
  </si>
  <si>
    <t>Trippelsuperfosfat, europeiskt medelvärde (Ecoinvent, 2021)</t>
  </si>
  <si>
    <t>Kvalitetsfaktor, kväve i slam</t>
  </si>
  <si>
    <t>Svanström et al. (2016)</t>
  </si>
  <si>
    <t>Ammoniumsulfat (biprodukt från Caprolactamproduktion), tyskt medelvärde (Sphera, 2021)</t>
  </si>
  <si>
    <t>Kvalitetsfaktor, fosfor i slam</t>
  </si>
  <si>
    <t>Kalk</t>
  </si>
  <si>
    <t>Syrgas, europeiskt medelvärde (Sphera, 2021)</t>
  </si>
  <si>
    <t>Natriumsilikat, europeiskt medelvärde (Ecoinvent, 2021)</t>
  </si>
  <si>
    <r>
      <t>Natriumkarbonat (Na</t>
    </r>
    <r>
      <rPr>
        <vertAlign val="subscript"/>
        <sz val="11"/>
        <rFont val="Calibri"/>
        <family val="2"/>
        <scheme val="minor"/>
      </rPr>
      <t>2</t>
    </r>
    <r>
      <rPr>
        <sz val="11"/>
        <rFont val="Calibri"/>
        <family val="2"/>
        <scheme val="minor"/>
      </rPr>
      <t>CO</t>
    </r>
    <r>
      <rPr>
        <vertAlign val="subscript"/>
        <sz val="11"/>
        <rFont val="Calibri"/>
        <family val="2"/>
        <scheme val="minor"/>
      </rPr>
      <t>3</t>
    </r>
    <r>
      <rPr>
        <sz val="11"/>
        <rFont val="Calibri"/>
        <family val="2"/>
        <scheme val="minor"/>
      </rPr>
      <t>), europeiskt medelvärde (Sphera, 2021)</t>
    </r>
  </si>
  <si>
    <t>Koldioxid, tyskt medelvärde (Sphera, 2021)</t>
  </si>
  <si>
    <t>Natriumbisulfit, europeiskt medelvärde (Ecoinvent, 2021)</t>
  </si>
  <si>
    <t>Citronsyra, europeiskt medelvärde (Ecoinvent, 2021)</t>
  </si>
  <si>
    <t>Emissionsfaktorer för beräkning av uppskattade emissioner</t>
  </si>
  <si>
    <t>Direkta utsläpp</t>
  </si>
  <si>
    <t>Valt värde</t>
  </si>
  <si>
    <t>Enhet</t>
  </si>
  <si>
    <t>Metan från vattenfas</t>
  </si>
  <si>
    <t>kg CH4/kg inkommande COD</t>
  </si>
  <si>
    <t>Lustgas från biologisk rening</t>
  </si>
  <si>
    <t>kg N2O/kg N denitrifierat</t>
  </si>
  <si>
    <t xml:space="preserve">Foley et al. (2010b) och Foley et al. (2008) </t>
  </si>
  <si>
    <t>Stenström et al (2017), SVU-rapport 2017-11</t>
  </si>
  <si>
    <t>Densitet biogas</t>
  </si>
  <si>
    <t>kg/Nm3</t>
  </si>
  <si>
    <t>SGC (2012)</t>
  </si>
  <si>
    <t>kg CH4/ton TS slam</t>
  </si>
  <si>
    <t>Nilsson Påledal et al. (2020)</t>
  </si>
  <si>
    <t>kg CH4/kg utgående BOD</t>
  </si>
  <si>
    <t>kg N2O/kg N i utgående vatten</t>
  </si>
  <si>
    <t>Koldioxid (fossilt ursprung)</t>
  </si>
  <si>
    <r>
      <t>kg CO</t>
    </r>
    <r>
      <rPr>
        <vertAlign val="subscript"/>
        <sz val="11"/>
        <color theme="1"/>
        <rFont val="Calibri"/>
        <family val="2"/>
        <scheme val="minor"/>
      </rPr>
      <t>2</t>
    </r>
    <r>
      <rPr>
        <sz val="11"/>
        <color theme="1"/>
        <rFont val="Calibri"/>
        <family val="2"/>
        <scheme val="minor"/>
      </rPr>
      <t>-ekvivalenter</t>
    </r>
  </si>
  <si>
    <t>Lustgas</t>
  </si>
  <si>
    <t>Fossilfritt</t>
  </si>
  <si>
    <t>Förbrukning anläggningsdrift [MWh/år]</t>
  </si>
  <si>
    <r>
      <t>Emissionsfaktor
[kg CO</t>
    </r>
    <r>
      <rPr>
        <b/>
        <vertAlign val="subscript"/>
        <sz val="11"/>
        <rFont val="Calibri"/>
        <family val="2"/>
        <scheme val="minor"/>
      </rPr>
      <t>2</t>
    </r>
    <r>
      <rPr>
        <b/>
        <sz val="11"/>
        <rFont val="Calibri"/>
        <family val="2"/>
        <scheme val="minor"/>
      </rPr>
      <t xml:space="preserve"> e/MWh]</t>
    </r>
  </si>
  <si>
    <t>TS-halt i slammet:</t>
  </si>
  <si>
    <t>Kallfackling</t>
  </si>
  <si>
    <r>
      <t>Uppgradering och användning av biogas - metan (CH</t>
    </r>
    <r>
      <rPr>
        <b/>
        <vertAlign val="subscript"/>
        <sz val="11"/>
        <color theme="1"/>
        <rFont val="Calibri"/>
        <family val="2"/>
        <scheme val="minor"/>
      </rPr>
      <t>4</t>
    </r>
    <r>
      <rPr>
        <b/>
        <sz val="11"/>
        <color theme="1"/>
        <rFont val="Calibri"/>
        <family val="2"/>
        <scheme val="minor"/>
      </rPr>
      <t>)</t>
    </r>
  </si>
  <si>
    <t>Slip [%]</t>
  </si>
  <si>
    <t>Lägg in information om biogasproduktion och metanslip i sektionen nedanför. Om uppmätta värden finns att tillgå för anläggningen, fylls de värdena i i de celler märkta med "Uppmätt värde:". Finns inga uppmätta värden att tillgå beräknas uppskattade värden baserat på litteratur. Om ett uppmätt och ett uppskattat värde finns ifyllda används det uppmätta värdet före det uppskattade i klimatberäkningen. Var uppmärksam på enheter som efterfrågas!</t>
  </si>
  <si>
    <t>Metanemissioner från uppgradering (egen regi):</t>
  </si>
  <si>
    <r>
      <t>Mängd [Nm</t>
    </r>
    <r>
      <rPr>
        <b/>
        <vertAlign val="superscript"/>
        <sz val="11"/>
        <color theme="1"/>
        <rFont val="Calibri"/>
        <family val="2"/>
        <scheme val="minor"/>
      </rPr>
      <t>3</t>
    </r>
    <r>
      <rPr>
        <b/>
        <sz val="11"/>
        <color theme="1"/>
        <rFont val="Calibri"/>
        <family val="2"/>
        <scheme val="minor"/>
      </rPr>
      <t>/år]</t>
    </r>
  </si>
  <si>
    <t>ton slam/år</t>
  </si>
  <si>
    <t>Förbrukning [MWh/år]</t>
  </si>
  <si>
    <r>
      <t>Indirekta utsläpp, 
[kg CO</t>
    </r>
    <r>
      <rPr>
        <b/>
        <vertAlign val="subscript"/>
        <sz val="11"/>
        <rFont val="Calibri"/>
        <family val="2"/>
        <scheme val="minor"/>
      </rPr>
      <t>2</t>
    </r>
    <r>
      <rPr>
        <b/>
        <sz val="11"/>
        <rFont val="Calibri"/>
        <family val="2"/>
        <scheme val="minor"/>
      </rPr>
      <t xml:space="preserve"> e/MWh]</t>
    </r>
  </si>
  <si>
    <r>
      <t>Direkta utsläpp,
[kg CO</t>
    </r>
    <r>
      <rPr>
        <b/>
        <vertAlign val="subscript"/>
        <sz val="11"/>
        <rFont val="Calibri"/>
        <family val="2"/>
        <scheme val="minor"/>
      </rPr>
      <t>2</t>
    </r>
    <r>
      <rPr>
        <b/>
        <sz val="11"/>
        <rFont val="Calibri"/>
        <family val="2"/>
        <scheme val="minor"/>
      </rPr>
      <t xml:space="preserve"> e/MWh]</t>
    </r>
  </si>
  <si>
    <r>
      <t>Släckt kalk (Ca(OH)</t>
    </r>
    <r>
      <rPr>
        <vertAlign val="subscript"/>
        <sz val="10"/>
        <rFont val="Calibri"/>
        <family val="2"/>
        <scheme val="minor"/>
      </rPr>
      <t>2</t>
    </r>
    <r>
      <rPr>
        <sz val="10"/>
        <rFont val="Calibri"/>
        <family val="2"/>
        <scheme val="minor"/>
      </rPr>
      <t>)</t>
    </r>
  </si>
  <si>
    <t>Nitrifikation-denitrifikation i SBR</t>
  </si>
  <si>
    <t>Hur mycket kväve har ni reducerat under året?
[kg N-tot/år]</t>
  </si>
  <si>
    <t>Aktivt kol, reaktiverat</t>
  </si>
  <si>
    <t>Kalciumnitrat</t>
  </si>
  <si>
    <t>Naturgas/stadsgas</t>
  </si>
  <si>
    <t>Reaktivering*</t>
  </si>
  <si>
    <t>* Mängden inköpt reaktiverat aktivt kol anges i nästkommande flik under "Inköp av övriga kemikalier".</t>
  </si>
  <si>
    <t>Egna anteckningar</t>
  </si>
  <si>
    <t xml:space="preserve">Här kan ni lägga in era egna anteckningar och kommentarer till beräkningarna för enklare uppföljning. </t>
  </si>
  <si>
    <t>Hur stor är belastningen 
till reningsverket? 
[pe]</t>
  </si>
  <si>
    <r>
      <t>Hur många m</t>
    </r>
    <r>
      <rPr>
        <b/>
        <vertAlign val="superscript"/>
        <sz val="11"/>
        <rFont val="Calibri"/>
        <family val="2"/>
        <scheme val="minor"/>
      </rPr>
      <t>3</t>
    </r>
    <r>
      <rPr>
        <b/>
        <sz val="11"/>
        <rFont val="Calibri"/>
        <family val="2"/>
        <scheme val="minor"/>
      </rPr>
      <t xml:space="preserve"> vatten har 
ni renat under året?
[m</t>
    </r>
    <r>
      <rPr>
        <b/>
        <vertAlign val="superscript"/>
        <sz val="11"/>
        <rFont val="Calibri"/>
        <family val="2"/>
        <scheme val="minor"/>
      </rPr>
      <t>3</t>
    </r>
    <r>
      <rPr>
        <b/>
        <sz val="11"/>
        <rFont val="Calibri"/>
        <family val="2"/>
        <scheme val="minor"/>
      </rPr>
      <t>/år]</t>
    </r>
  </si>
  <si>
    <r>
      <t>Hur många m</t>
    </r>
    <r>
      <rPr>
        <b/>
        <vertAlign val="superscript"/>
        <sz val="11"/>
        <rFont val="Calibri"/>
        <family val="2"/>
        <scheme val="minor"/>
      </rPr>
      <t>3</t>
    </r>
    <r>
      <rPr>
        <b/>
        <sz val="11"/>
        <rFont val="Calibri"/>
        <family val="2"/>
        <scheme val="minor"/>
      </rPr>
      <t xml:space="preserve"> vatten har 
ni distribuerat under året?
[m</t>
    </r>
    <r>
      <rPr>
        <b/>
        <vertAlign val="superscript"/>
        <sz val="11"/>
        <rFont val="Calibri"/>
        <family val="2"/>
        <scheme val="minor"/>
      </rPr>
      <t>3</t>
    </r>
    <r>
      <rPr>
        <b/>
        <sz val="11"/>
        <rFont val="Calibri"/>
        <family val="2"/>
        <scheme val="minor"/>
      </rPr>
      <t>/år]</t>
    </r>
  </si>
  <si>
    <r>
      <t>Hur många m</t>
    </r>
    <r>
      <rPr>
        <b/>
        <vertAlign val="superscript"/>
        <sz val="11"/>
        <rFont val="Calibri"/>
        <family val="2"/>
        <scheme val="minor"/>
      </rPr>
      <t>3</t>
    </r>
    <r>
      <rPr>
        <b/>
        <sz val="11"/>
        <rFont val="Calibri"/>
        <family val="2"/>
        <scheme val="minor"/>
      </rPr>
      <t xml:space="preserve"> vatten har 
ni producerat under året?
[m</t>
    </r>
    <r>
      <rPr>
        <b/>
        <vertAlign val="superscript"/>
        <sz val="11"/>
        <rFont val="Calibri"/>
        <family val="2"/>
        <scheme val="minor"/>
      </rPr>
      <t>3</t>
    </r>
    <r>
      <rPr>
        <b/>
        <sz val="11"/>
        <rFont val="Calibri"/>
        <family val="2"/>
        <scheme val="minor"/>
      </rPr>
      <t>/år]</t>
    </r>
  </si>
  <si>
    <t>Förbrukning 
ledningsnät [MWh/år]</t>
  </si>
  <si>
    <t>Metanemissioner från uppgradering i egen regi</t>
  </si>
  <si>
    <t>Metanemissioner från uppgradering i annans regi</t>
  </si>
  <si>
    <t>Metanemissioner från förbränning i panna</t>
  </si>
  <si>
    <t>Metanemissioner från fackling</t>
  </si>
  <si>
    <t>Metanemissioner från kallfackling</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</si>
  <si>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</si>
  <si>
    <t>Total klimatpåverkan</t>
  </si>
  <si>
    <r>
      <t>ton CO</t>
    </r>
    <r>
      <rPr>
        <b/>
        <vertAlign val="subscript"/>
        <sz val="11"/>
        <color theme="1"/>
        <rFont val="Calibri"/>
        <family val="2"/>
        <scheme val="minor"/>
      </rPr>
      <t>2</t>
    </r>
    <r>
      <rPr>
        <b/>
        <sz val="11"/>
        <color theme="1"/>
        <rFont val="Calibri"/>
        <family val="2"/>
        <scheme val="minor"/>
      </rPr>
      <t xml:space="preserve"> e</t>
    </r>
  </si>
  <si>
    <t>Omräkning till vikt-%:</t>
  </si>
  <si>
    <t>1. El och värmeförbrukning - för avloppsreningsverk och vattenverk</t>
  </si>
  <si>
    <t>2. Drivmedel och reservkraft - för avloppsreningsverk och vattenverk</t>
  </si>
  <si>
    <t>3. Restprodukter - för avloppsreningsverk och vattenverk</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</si>
  <si>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r>
      <rPr>
        <b/>
        <sz val="11"/>
        <rFont val="Calibri"/>
        <family val="2"/>
        <scheme val="minor"/>
      </rPr>
      <t xml:space="preserve"> - endast avloppsreningsverk</t>
    </r>
  </si>
  <si>
    <t>1. Elförbrukning</t>
  </si>
  <si>
    <t>1. Värmeförbrukning</t>
  </si>
  <si>
    <t>2. Drivmedel</t>
  </si>
  <si>
    <t>3. Restprodukter</t>
  </si>
  <si>
    <t>4. Rötkammare och biogas</t>
  </si>
  <si>
    <t>6. Kolkälla</t>
  </si>
  <si>
    <t>7. Fällningskemikalier</t>
  </si>
  <si>
    <t>8. Polymer</t>
  </si>
  <si>
    <t>9. Övriga kemikalier</t>
  </si>
  <si>
    <t>Scope 1 emissioner</t>
  </si>
  <si>
    <t>Scope 2 emissioner</t>
  </si>
  <si>
    <t>Kalkgranuler, återvinning</t>
  </si>
  <si>
    <t>Nyttor i förhållande till totala klimatpåverkan
[%]</t>
  </si>
  <si>
    <t>El, värme och bränslen</t>
  </si>
  <si>
    <r>
      <t>TOTAL
[ton CO</t>
    </r>
    <r>
      <rPr>
        <b/>
        <vertAlign val="subscript"/>
        <sz val="11"/>
        <color theme="1"/>
        <rFont val="Calibri"/>
        <family val="2"/>
        <scheme val="minor"/>
      </rPr>
      <t>2</t>
    </r>
    <r>
      <rPr>
        <b/>
        <sz val="11"/>
        <color theme="1"/>
        <rFont val="Calibri"/>
        <family val="2"/>
        <scheme val="minor"/>
      </rPr>
      <t xml:space="preserve"> e per år]</t>
    </r>
  </si>
  <si>
    <r>
      <t>El, värme och bränslen
[ton CO</t>
    </r>
    <r>
      <rPr>
        <b/>
        <vertAlign val="subscript"/>
        <sz val="11"/>
        <color theme="1"/>
        <rFont val="Calibri"/>
        <family val="2"/>
        <scheme val="minor"/>
      </rPr>
      <t>2</t>
    </r>
    <r>
      <rPr>
        <b/>
        <sz val="11"/>
        <color theme="1"/>
        <rFont val="Calibri"/>
        <family val="2"/>
        <scheme val="minor"/>
      </rPr>
      <t xml:space="preserve"> e per år]</t>
    </r>
  </si>
  <si>
    <r>
      <t>Avloppsslam
[ton CO</t>
    </r>
    <r>
      <rPr>
        <b/>
        <vertAlign val="subscript"/>
        <sz val="11"/>
        <color theme="1"/>
        <rFont val="Calibri"/>
        <family val="2"/>
        <scheme val="minor"/>
      </rPr>
      <t>2</t>
    </r>
    <r>
      <rPr>
        <b/>
        <sz val="11"/>
        <color theme="1"/>
        <rFont val="Calibri"/>
        <family val="2"/>
        <scheme val="minor"/>
      </rPr>
      <t xml:space="preserve"> e per år]</t>
    </r>
  </si>
  <si>
    <r>
      <t>Dricksvattenverk 
[ton CO</t>
    </r>
    <r>
      <rPr>
        <b/>
        <vertAlign val="subscript"/>
        <sz val="11"/>
        <color theme="1"/>
        <rFont val="Calibri"/>
        <family val="2"/>
        <scheme val="minor"/>
      </rPr>
      <t>2</t>
    </r>
    <r>
      <rPr>
        <b/>
        <sz val="11"/>
        <color theme="1"/>
        <rFont val="Calibri"/>
        <family val="2"/>
        <scheme val="minor"/>
      </rPr>
      <t xml:space="preserve"> e per år]</t>
    </r>
  </si>
  <si>
    <t>Scope 3 emissioner
Uppströms</t>
  </si>
  <si>
    <t>Scope 3 emissioner
Nedströms</t>
  </si>
  <si>
    <t>Producerat fordonsbränsle</t>
  </si>
  <si>
    <t>Årsvolymer [MWh]</t>
  </si>
  <si>
    <r>
      <t>Emissionsfaktor 
undviken produktion 
[kg CO</t>
    </r>
    <r>
      <rPr>
        <b/>
        <vertAlign val="subscript"/>
        <sz val="11"/>
        <rFont val="Calibri"/>
        <family val="2"/>
        <scheme val="minor"/>
      </rPr>
      <t>2</t>
    </r>
    <r>
      <rPr>
        <b/>
        <sz val="11"/>
        <rFont val="Calibri"/>
        <family val="2"/>
        <scheme val="minor"/>
      </rPr>
      <t xml:space="preserve"> e/MWh]</t>
    </r>
  </si>
  <si>
    <t>Värme från förbränning av slam och rens*</t>
  </si>
  <si>
    <t>Kolinlagring i slamgödslade jordar</t>
  </si>
  <si>
    <t>Andel kol som antas 
bindas i jorden</t>
  </si>
  <si>
    <t>Kol som binds i jorden beräknas som undvikna koldioxidutsläpp</t>
  </si>
  <si>
    <t>Ange mängd slam som lagrats 2 månader eller mer:</t>
  </si>
  <si>
    <t xml:space="preserve">Om anläggningen har separat rejektvattenrening ange reducerad kvävemängd för något av alternativen nedan. Finns ingen separat rejektvattenrening på anläggningen, lämna samtliga gröna fält blanka och gå till nästa sektion. </t>
  </si>
  <si>
    <t>Nitritation-deammonifikation</t>
  </si>
  <si>
    <t>Scope 1</t>
  </si>
  <si>
    <t>Scope 2</t>
  </si>
  <si>
    <t>Scope 3</t>
  </si>
  <si>
    <t>El och värme</t>
  </si>
  <si>
    <t>Fordonsbränsle</t>
  </si>
  <si>
    <t>Resultatpresentation av potentiella klimatnyttor</t>
  </si>
  <si>
    <t>Kalkpellets</t>
  </si>
  <si>
    <t>Fällningskemikalie</t>
  </si>
  <si>
    <t>Fjärrvärme, lokala miljövärden*</t>
  </si>
  <si>
    <t>Fjärrkyla, lokala miljövärden**</t>
  </si>
  <si>
    <t>Lustgas från nitritation</t>
  </si>
  <si>
    <t>Lustgas från nitrifikation</t>
  </si>
  <si>
    <t>Lustgasemissioner från nitrifikation:</t>
  </si>
  <si>
    <t>Lustgasemissioner från nitritation:</t>
  </si>
  <si>
    <t>Kalkslam eller kalkpellets</t>
  </si>
  <si>
    <t>Behandling av orötat slam hos annat ARV**</t>
  </si>
  <si>
    <t xml:space="preserve">** Om ingen slambehandling finns på anläggningen kan användaren ange slam som transporteras till annat ARV för behandling. Vidare behöver ingen information om rötning, biogashantering och slambehandling anges i verktyget. </t>
  </si>
  <si>
    <r>
      <t>kg BOD</t>
    </r>
    <r>
      <rPr>
        <vertAlign val="subscript"/>
        <sz val="10"/>
        <rFont val="Calibri"/>
        <family val="2"/>
        <scheme val="minor"/>
      </rPr>
      <t>utgående</t>
    </r>
    <r>
      <rPr>
        <sz val="10"/>
        <rFont val="Calibri"/>
        <family val="2"/>
        <scheme val="minor"/>
      </rPr>
      <t>/år</t>
    </r>
  </si>
  <si>
    <r>
      <rPr>
        <b/>
        <u/>
        <sz val="12"/>
        <color theme="1"/>
        <rFont val="Arial"/>
        <family val="2"/>
      </rPr>
      <t xml:space="preserve">Var finns resultatet presenterat? </t>
    </r>
    <r>
      <rPr>
        <sz val="12"/>
        <color theme="1"/>
        <rFont val="Arial"/>
        <family val="2"/>
      </rPr>
      <t xml:space="preserve">
Resultatet finns presenterat i flikarna "Resultatpresentation i tabell", 
"Resultatpresentation i graf" samt "Resultatpresentation av nyttor". </t>
    </r>
  </si>
  <si>
    <t>* Lägg in det lokala fjärrvärmenätets miljöpåverkan från filen "Fjärrvärmes lokala miljövärden 20XX". Observera att (g CO2 e/kWh) = (kg CO2 e/MWh). Summera ihop fältet Förbränning och Transport och produktion av bränslen.</t>
  </si>
  <si>
    <t xml:space="preserve">Potentiella klimatnyttor från avloppsslam uppstår vid tillverkning av jord samt vid spridning av avloppsslam på åkermark. Ange mängd slam som går till jordtillverkning, samt ange de mängder totalkväve och totalfosfor som sprids på åkermark. Ange även slammets kolinnehåll för att beräkna potentiell klimatnytta från kolinlagring vid spridning på åkermark (ange annars VS-halt som % av TS som approximation om inte kolinnehållet är känt). </t>
  </si>
  <si>
    <t>Värmevärde avloppsslam</t>
  </si>
  <si>
    <t>Värmevärde rens</t>
  </si>
  <si>
    <t>Aktivt kol, förbränning</t>
  </si>
  <si>
    <t>Börjesson (2021)</t>
  </si>
  <si>
    <t>-</t>
  </si>
  <si>
    <t>Östlund (2003)</t>
  </si>
  <si>
    <t>Verkningsgrad, värmeåtervinning från slam och rens</t>
  </si>
  <si>
    <t>Rötkammare och biogas</t>
  </si>
  <si>
    <t>Kalciumnitrat, globalt medelvärde (Ecoinvent, 2021)</t>
  </si>
  <si>
    <t>Antagande att rens kan jämföras med genomsnittligt hushållsavfall, värde från Östlund (2003)</t>
  </si>
  <si>
    <t>Gustavsson &amp; Tumlin (2013)</t>
  </si>
  <si>
    <t xml:space="preserve">Potentiella klimatnyttor uppstår vid uppgradering av biogas samt vid försäljning av överskottsel och -värme från biogaspanna, värmeväxling från avloppsledningar, egna elproduktionsanläggningar. Ange mängd uppgraderad gas som matas ut på nät eller på flak, samt ange de mängder el och värme som säljs till nätet under det aktuella året.  </t>
  </si>
  <si>
    <r>
      <t>Förbrukad mängd 
[m</t>
    </r>
    <r>
      <rPr>
        <b/>
        <vertAlign val="superscript"/>
        <sz val="11"/>
        <rFont val="Calibri"/>
        <family val="2"/>
        <scheme val="minor"/>
      </rPr>
      <t>3</t>
    </r>
    <r>
      <rPr>
        <b/>
        <sz val="11"/>
        <rFont val="Calibri"/>
        <family val="2"/>
        <scheme val="minor"/>
      </rPr>
      <t>/år]</t>
    </r>
  </si>
  <si>
    <t>Dricksvatten 
(för avloppsreningsverk)*</t>
  </si>
  <si>
    <t xml:space="preserve">* Ange emissionsfaktorn för producerat dricksvatten från den lokala leverantören. 
För dricksvattenverk blir den resulterande emissionsfaktorn noll p.g.a. internt flöde. </t>
  </si>
  <si>
    <r>
      <t>Emissionsfaktor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</si>
  <si>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Energiföretagen (2022)</t>
  </si>
  <si>
    <t>Kolinnehåll i slam 
[% av TS]</t>
  </si>
  <si>
    <t>Mängd slam som nyttiggörs [ton/år]</t>
  </si>
  <si>
    <t xml:space="preserve">Ange mängder av producerad rå biogas från rötkammaren som går till respektive avsättning. Har man ett eget uppmätt värde för slip från uppgraderingsanläggningen anger man det i den första rutan. </t>
  </si>
  <si>
    <t xml:space="preserve">** Fråga er fjärrkylaleverantör efter fjärrkylans miljövärde i enheten kg CO2 e per MWh.   </t>
  </si>
  <si>
    <r>
      <t>Lägg in bränsleförbrukning för företagsägda fordon samt reservkraft i de gröna fält som är relevanta för den aktuella anläggningen. Alla gröna fält behöver inte vara ifyllda. Informationen som läggs in ska vara på årsbasis. Om förbrukningen inte går att dela upp på ett enkelt sätt mellan organisationens olika anläggningar, dividera då den totala bränsleförbrukningen med antalet anläggningar. 
Om EcoPar använts under det aktuella året - ange förbrukning på samma rad som Diesel MK1. 
I raden längst ned ("</t>
    </r>
    <r>
      <rPr>
        <i/>
        <sz val="11"/>
        <rFont val="Calibri"/>
        <family val="2"/>
        <scheme val="minor"/>
      </rPr>
      <t>Annan</t>
    </r>
    <r>
      <rPr>
        <sz val="11"/>
        <rFont val="Calibri"/>
        <family val="2"/>
        <scheme val="minor"/>
      </rPr>
      <t xml:space="preserve">") kan ni lägga in egen emissionsfaktor från leverantör. </t>
    </r>
  </si>
  <si>
    <t>9. Vattenförbrukning</t>
  </si>
  <si>
    <t>Lustgasemissioner från recipient</t>
  </si>
  <si>
    <t>Dricksvatten [kg CO2 e/år]</t>
  </si>
  <si>
    <t>Vattenförbrukning hos ARV</t>
  </si>
  <si>
    <t>Lustgasemissioner från slamlager</t>
  </si>
  <si>
    <t>Förbrukad mängd 
[ton/år]</t>
  </si>
  <si>
    <r>
      <t>Slamhygienisering - metan (CH</t>
    </r>
    <r>
      <rPr>
        <b/>
        <vertAlign val="subscript"/>
        <sz val="11"/>
        <rFont val="Calibri"/>
        <family val="2"/>
        <scheme val="minor"/>
      </rPr>
      <t>4</t>
    </r>
    <r>
      <rPr>
        <b/>
        <sz val="11"/>
        <rFont val="Calibri"/>
        <family val="2"/>
        <scheme val="minor"/>
      </rPr>
      <t>) och lustgas (N</t>
    </r>
    <r>
      <rPr>
        <b/>
        <vertAlign val="subscript"/>
        <sz val="11"/>
        <rFont val="Calibri"/>
        <family val="2"/>
        <scheme val="minor"/>
      </rPr>
      <t>2</t>
    </r>
    <r>
      <rPr>
        <b/>
        <sz val="11"/>
        <rFont val="Calibri"/>
        <family val="2"/>
        <scheme val="minor"/>
      </rPr>
      <t>O)</t>
    </r>
  </si>
  <si>
    <t>Metan från hygienisering av slam</t>
  </si>
  <si>
    <t>Metan från rötkammare och slambehandling</t>
  </si>
  <si>
    <t>Metanslip från rötkammare och slambehandling:</t>
  </si>
  <si>
    <t>Ange mängd producerad rågas under det aktuella året, samt metanhalten i gasen (volym-%). Har man ett eget uppmätt värde för slip från rötkammare och slambehandling anger man det nedanför.</t>
  </si>
  <si>
    <t>Producerad mängd biogas (rågas):</t>
  </si>
  <si>
    <t>Metanhalt i producerad biogas (rågas):</t>
  </si>
  <si>
    <r>
      <t>Rötning och slambehandling - metan (CH</t>
    </r>
    <r>
      <rPr>
        <b/>
        <vertAlign val="subscript"/>
        <sz val="11"/>
        <color theme="1"/>
        <rFont val="Calibri"/>
        <family val="2"/>
        <scheme val="minor"/>
      </rPr>
      <t>4</t>
    </r>
    <r>
      <rPr>
        <b/>
        <sz val="11"/>
        <color theme="1"/>
        <rFont val="Calibri"/>
        <family val="2"/>
        <scheme val="minor"/>
      </rPr>
      <t>)</t>
    </r>
  </si>
  <si>
    <t>Metanemissioner från hygienisering:</t>
  </si>
  <si>
    <t>Lustgasemissioner från hygienisering:</t>
  </si>
  <si>
    <t>Natriumhypoklorit (50%)</t>
  </si>
  <si>
    <t>Aktivt kol, från stenkol (Hoyer et al. 2022)</t>
  </si>
  <si>
    <t>Reaktivering av förbrukat aktivt kol (Hoyer et al. 2022)</t>
  </si>
  <si>
    <t>Salpetersyra (60%)</t>
  </si>
  <si>
    <t>Produktionsmix av natriumhydroxid (50%), europeiskt medelvärde (Euro Chlor, 2022)</t>
  </si>
  <si>
    <t>Klorgas, europeiskt medelvärde (Euro Chlor, 2022)</t>
  </si>
  <si>
    <t>Natriumhypoklorit (50%), europeiskt medelvärde (Euro Chlor, 2022)</t>
  </si>
  <si>
    <t>Salpetersyra (60% HNO3), europeiskt medelvärde (Fertilizers Europe, 2011)</t>
  </si>
  <si>
    <t>Karaktäriseringsfaktorer från IPCC AR6</t>
  </si>
  <si>
    <t>Vattenfall (2022)</t>
  </si>
  <si>
    <t>Svensk solenergi (2022)</t>
  </si>
  <si>
    <t>FAME100</t>
  </si>
  <si>
    <t>HVO100</t>
  </si>
  <si>
    <t>Användaren fyller i mängden slam som lagras minst två månader innan slammet avsätts. Sker ingen hygienisering av slammet lämnas de gröna fälten blanka.</t>
  </si>
  <si>
    <t>Polyakrylamid (fast produkt)</t>
  </si>
  <si>
    <t xml:space="preserve">GCC fine (malen kalksten) (CCA, 2021) </t>
  </si>
  <si>
    <t>Biogas, varmfackling</t>
  </si>
  <si>
    <t>Natriumhydroxid (50 %)</t>
  </si>
  <si>
    <t>Uppgraderad biogas ersätter fossilt drivmedel.</t>
  </si>
  <si>
    <t>Bränsle</t>
  </si>
  <si>
    <t>Fossil motsvarighet till biodrivmedel på 94 g CO2e/MJ (EU-direktiv 2018/2001)</t>
  </si>
  <si>
    <t>Naturgas, produktion och förbränning (Gode et al. 2011)</t>
  </si>
  <si>
    <t>EO1, produktion och förbränning (Gode et al. 2011)</t>
  </si>
  <si>
    <t>Antagande att avfallet består av 50% stenkol och ca 40% vatten. EF för stenkol från Gode et al. (2011).</t>
  </si>
  <si>
    <t>MJ/ton</t>
  </si>
  <si>
    <r>
      <t xml:space="preserve">Fordonsgas, externt producerad </t>
    </r>
    <r>
      <rPr>
        <b/>
        <sz val="10"/>
        <rFont val="Calibri"/>
        <family val="2"/>
        <scheme val="minor"/>
      </rPr>
      <t>[kg]</t>
    </r>
  </si>
  <si>
    <r>
      <t xml:space="preserve">LNG/LBG </t>
    </r>
    <r>
      <rPr>
        <b/>
        <sz val="10"/>
        <rFont val="Calibri"/>
        <family val="2"/>
        <scheme val="minor"/>
      </rPr>
      <t>[kg]</t>
    </r>
  </si>
  <si>
    <t xml:space="preserve">Förbränning av hushållsavfall (Gode et al. 2011). Ca 10 MJ/kg energiinnehåll (Östlund, 2003). </t>
  </si>
  <si>
    <t>Metan (biogent ursprung)</t>
  </si>
  <si>
    <t>LNG/LBG</t>
  </si>
  <si>
    <t>Fordonsgas</t>
  </si>
  <si>
    <t>Sand eller finmald aggregat (NCC, 2022)</t>
  </si>
  <si>
    <t>4. Rötning, slambehandling och biogasanvändning - endast avloppsreningsverk</t>
  </si>
  <si>
    <t xml:space="preserve">Fyll i data i de två första fälten för att beräkna utsläpp från recipienten. </t>
  </si>
  <si>
    <t>Magnusson &amp; Yngvesson (2023)</t>
  </si>
  <si>
    <t>Brenntaplus</t>
  </si>
  <si>
    <t>Brenntag (2023)</t>
  </si>
  <si>
    <t>Väteperoxid (49%)</t>
  </si>
  <si>
    <r>
      <t>Väteperoxid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</si>
  <si>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Energimarknadsinspektionen (2024)</t>
  </si>
  <si>
    <t>Energimyndigheten (2023, 2024)</t>
  </si>
  <si>
    <t>Energimyndigheten (2024)</t>
  </si>
  <si>
    <t>Diesel MK3</t>
  </si>
  <si>
    <t>Diesel MK1*</t>
  </si>
  <si>
    <t>* Standard dieselbränsle t.o.m. år 2023</t>
  </si>
  <si>
    <r>
      <t>Ange mängden kolkällor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I raden längst ned ("</t>
    </r>
    <r>
      <rPr>
        <i/>
        <sz val="11"/>
        <rFont val="Calibri"/>
        <family val="2"/>
        <scheme val="minor"/>
      </rPr>
      <t>Annan</t>
    </r>
    <r>
      <rPr>
        <sz val="11"/>
        <rFont val="Calibri"/>
        <family val="2"/>
        <scheme val="minor"/>
      </rPr>
      <t xml:space="preserve">") kan ni lägga in en egen emissionsfaktor från leverantör. </t>
    </r>
  </si>
  <si>
    <t>6. Förbrukning av kolkällor - endast avloppsreningsverk</t>
  </si>
  <si>
    <t>7. Förbrukning av fällningskemikalier - för avloppsreningsverk och vattenverk</t>
  </si>
  <si>
    <t xml:space="preserve">Ange mängden fällningskemikalier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</si>
  <si>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8. Förbrukning av polymerer - för avloppsreningsverk och vattenverk</t>
  </si>
  <si>
    <t xml:space="preserve">Ange mängden polymer som förbrukas vid anläggningen per år. Kemikalier anges som 100% koncentration om inget annat anges.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</si>
  <si>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9. Förbrukning av övriga kemikalier - för avloppsreningsverk och vattenverk</t>
  </si>
  <si>
    <t xml:space="preserve">Ange mängden övriga kemikalier som förbrukas vid anläggningen per år. Alla kemikalier anges som 100% koncentration om inget annat anges. Alla gröna fält behöver inte vara ifyllda. 
Ange information om transportdistans från producent till anläggning samt drivmedel som används under transporten, enkel sträcka. 
Om du inte vet avståndet, lämna då kvar det förifyllda transportavståndet. Om du inte vet vilket bränsle som används, lämna fältet blankt eller välj diesel i rullistan. </t>
  </si>
  <si>
    <t>Aluminiumsulfat (ALG)</t>
  </si>
  <si>
    <t>Järnklorid (PIX-111)</t>
  </si>
  <si>
    <t>Järnklorid (Plusjärn S 314)</t>
  </si>
  <si>
    <t>PAC (Ekoflock 54)</t>
  </si>
  <si>
    <t>PAC (Ekoflock 70)</t>
  </si>
  <si>
    <t>PAC (Ekoflock 75)</t>
  </si>
  <si>
    <t>PAC (Ekoflock 90, 91, 92)</t>
  </si>
  <si>
    <t>PAC (Ekoflock 96)</t>
  </si>
  <si>
    <t>Järnsulfat (PIX-113)</t>
  </si>
  <si>
    <t>Järnkloridsulfat (PIX-118)</t>
  </si>
  <si>
    <t>Aluminiumjärnklorid 
(Ekomix 1091)</t>
  </si>
  <si>
    <t>PAC (Pluspac S 1465)</t>
  </si>
  <si>
    <t>PAC (PAX-XL60)</t>
  </si>
  <si>
    <t>PAC (PAX-XL260)</t>
  </si>
  <si>
    <t>PAC (PAX-XL100)</t>
  </si>
  <si>
    <t>Järnsulfat 
(tvåvärd, t.ex. Quickfloc)</t>
  </si>
  <si>
    <t>Kemira (2024)</t>
  </si>
  <si>
    <t>Feralco (2024)</t>
  </si>
  <si>
    <t>INCOPA (2023)</t>
  </si>
  <si>
    <t>Saltsyra (32%)</t>
  </si>
  <si>
    <t>Produktionsmix av saltsyra (32%) (INCOPA, 2023)</t>
  </si>
  <si>
    <t>Produktionsmix av svavelsyra (96%) (INCOPA, 2023)</t>
  </si>
  <si>
    <t>[Vilket årtal baseras informationen i verktyget på?]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</si>
</sst>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2"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vertAlign val="superscript"/>
      <sz val="11"/>
      <color theme="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i/>
      <sz val="10"/>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63">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3"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0" fontId="14"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2" fillId="0" borderId="0" xfId="0" applyNumberFormat="1" applyFont="1" applyAlignment="1">
      <alignment horizontal="left"/>
    </xf>
    <xf numFmtId="0" fontId="43" fillId="0" borderId="0" xfId="0" applyFont="1" applyAlignment="1">
      <alignment wrapText="1"/>
    </xf>
    <xf numFmtId="0" fontId="43" fillId="0" borderId="0" xfId="0" applyFont="1"/>
    <xf numFmtId="0" fontId="43" fillId="0" borderId="0" xfId="0" applyFont="1" applyAlignment="1">
      <alignment horizontal="left" wrapText="1"/>
    </xf>
    <xf numFmtId="164" fontId="42"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5"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0" fontId="0" fillId="0" borderId="0" xfId="0" applyAlignment="1">
      <alignment horizontal="right"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50"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167" fontId="0" fillId="0" borderId="1" xfId="0" applyNumberFormat="1" applyBorder="1" applyAlignment="1">
      <alignment horizontal="center" vertical="center"/>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Border="1" applyAlignment="1">
      <alignment horizontal="center" vertical="top" wrapText="1"/>
    </xf>
    <xf numFmtId="0" fontId="12" fillId="0" borderId="1" xfId="0" quotePrefix="1" applyFont="1" applyFill="1" applyBorder="1" applyAlignment="1">
      <alignment horizontal="center" vertical="center" wrapText="1"/>
    </xf>
    <xf numFmtId="3" fontId="0" fillId="0" borderId="1" xfId="0" applyNumberFormat="1" applyFill="1" applyBorder="1" applyAlignment="1">
      <alignment horizontal="center" vertical="center"/>
    </xf>
    <xf numFmtId="9" fontId="11" fillId="0" borderId="1" xfId="1" applyFont="1" applyFill="1" applyBorder="1" applyAlignment="1">
      <alignment horizontal="center" vertical="center"/>
    </xf>
    <xf numFmtId="3" fontId="23" fillId="0" borderId="1"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xf>
    <xf numFmtId="166" fontId="23" fillId="0" borderId="1" xfId="0" applyNumberFormat="1" applyFont="1" applyFill="1" applyBorder="1" applyAlignment="1">
      <alignment horizontal="center" vertical="center"/>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3" fillId="0" borderId="1" xfId="0" quotePrefix="1" applyFont="1" applyFill="1" applyBorder="1" applyAlignment="1">
      <alignment horizontal="center" vertical="center" wrapText="1"/>
    </xf>
    <xf numFmtId="0" fontId="0" fillId="0" borderId="1" xfId="0" applyFill="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23" fillId="0" borderId="2" xfId="0" applyFont="1" applyBorder="1" applyAlignment="1">
      <alignment horizontal="center" vertical="center"/>
    </xf>
    <xf numFmtId="3" fontId="23" fillId="0" borderId="2" xfId="2" applyNumberFormat="1" applyFont="1" applyFill="1" applyBorder="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4"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3" fontId="23" fillId="0" borderId="3" xfId="0" applyNumberFormat="1" applyFont="1" applyBorder="1" applyAlignment="1">
      <alignment horizontal="center" vertical="center"/>
    </xf>
    <xf numFmtId="0" fontId="21" fillId="0" borderId="2"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164" fontId="12" fillId="0" borderId="0" xfId="1" applyNumberFormat="1" applyFont="1" applyFill="1" applyBorder="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3" fontId="12" fillId="0" borderId="3" xfId="0" applyNumberFormat="1" applyFont="1" applyBorder="1" applyAlignment="1">
      <alignment horizontal="center" vertical="top" wrapText="1"/>
    </xf>
    <xf numFmtId="3" fontId="12" fillId="0" borderId="0" xfId="0" applyNumberFormat="1" applyFont="1" applyAlignment="1">
      <alignment horizontal="center" vertical="top" wrapText="1"/>
    </xf>
    <xf numFmtId="3" fontId="0" fillId="0" borderId="0" xfId="0" applyNumberFormat="1" applyAlignment="1">
      <alignment horizontal="center" vertical="center" wrapText="1"/>
    </xf>
    <xf numFmtId="0" fontId="22" fillId="0" borderId="2" xfId="0" applyFont="1" applyBorder="1" applyAlignment="1">
      <alignment horizontal="center" vertical="center"/>
    </xf>
    <xf numFmtId="0" fontId="30" fillId="0" borderId="2" xfId="0" applyFont="1" applyFill="1" applyBorder="1" applyAlignment="1">
      <alignment horizontal="center" vertical="center"/>
    </xf>
    <xf numFmtId="3" fontId="37" fillId="0" borderId="0" xfId="0" applyNumberFormat="1" applyFont="1" applyAlignment="1">
      <alignment horizontal="center" vertical="center" wrapText="1"/>
    </xf>
    <xf numFmtId="0" fontId="19" fillId="0" borderId="0" xfId="0" applyFont="1" applyAlignment="1">
      <alignment horizontal="left" vertical="top" wrapText="1"/>
    </xf>
    <xf numFmtId="0" fontId="15" fillId="0" borderId="0" xfId="0" applyFont="1" applyAlignment="1">
      <alignment horizontal="left" vertical="top" wrapText="1"/>
    </xf>
    <xf numFmtId="0" fontId="51" fillId="0" borderId="0" xfId="0" applyFont="1" applyAlignment="1">
      <alignment horizontal="left" vertical="top" wrapText="1"/>
    </xf>
    <xf numFmtId="0" fontId="22" fillId="0" borderId="2" xfId="0" applyFont="1" applyBorder="1" applyAlignment="1">
      <alignment horizontal="center" vertical="center" wrapText="1"/>
    </xf>
    <xf numFmtId="0" fontId="23" fillId="0" borderId="3" xfId="0" applyFont="1" applyBorder="1" applyAlignment="1">
      <alignment horizontal="center" vertical="center"/>
    </xf>
    <xf numFmtId="0" fontId="30" fillId="0" borderId="2" xfId="0" applyFont="1" applyBorder="1" applyAlignment="1">
      <alignment horizontal="center" vertical="center"/>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2" fillId="0" borderId="3" xfId="0" applyFont="1" applyBorder="1" applyAlignment="1">
      <alignment horizontal="center" vertical="center" wrapText="1"/>
    </xf>
    <xf numFmtId="0" fontId="11" fillId="0" borderId="3" xfId="0" applyFont="1" applyFill="1" applyBorder="1" applyAlignment="1">
      <alignment horizontal="center" vertical="top" wrapText="1"/>
    </xf>
    <xf numFmtId="0" fontId="19" fillId="0" borderId="3" xfId="0" applyFont="1" applyBorder="1" applyAlignment="1">
      <alignment horizontal="left" vertical="center" wrapText="1"/>
    </xf>
    <xf numFmtId="0" fontId="22" fillId="0" borderId="2"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3" xfId="0" applyBorder="1" applyAlignment="1">
      <alignment horizontal="center" vertical="center" wrapText="1"/>
    </xf>
    <xf numFmtId="0" fontId="19" fillId="0" borderId="0" xfId="0" applyFont="1" applyAlignment="1">
      <alignment horizontal="left" vertical="center" wrapText="1"/>
    </xf>
    <xf numFmtId="0" fontId="15" fillId="0" borderId="3" xfId="0" applyFont="1" applyBorder="1" applyAlignment="1">
      <alignment horizontal="left" vertical="top" wrapText="1"/>
    </xf>
    <xf numFmtId="0" fontId="21" fillId="0" borderId="2" xfId="0" applyFont="1" applyFill="1" applyBorder="1" applyAlignment="1">
      <alignment horizontal="center" vertical="center"/>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3" fontId="26" fillId="0" borderId="2" xfId="0" applyNumberFormat="1" applyFont="1" applyBorder="1" applyAlignment="1">
      <alignment horizontal="center" vertical="center" wrapText="1"/>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2" xfId="0" applyFont="1" applyBorder="1" applyAlignment="1">
      <alignment horizontal="center" vertical="center"/>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Fill="1" applyBorder="1" applyAlignment="1">
      <alignment horizontal="center" vertical="center"/>
    </xf>
    <xf numFmtId="0" fontId="49"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'Resultatpresentation i tabell'!$B$13:$J$13</c:f>
              <c:strCache>
                <c:ptCount val="9"/>
                <c:pt idx="0">
                  <c:v>Direkta emissioner från företagsägda bilar, reservkraft och värme</c:v>
                </c:pt>
                <c:pt idx="1">
                  <c:v>Direkta emissioner av N2O</c:v>
                </c:pt>
                <c:pt idx="2">
                  <c:v>Direkta emissioner av CH4</c:v>
                </c:pt>
                <c:pt idx="3">
                  <c:v>Direkta emissioner av CO2 från respiration av kolkälla</c:v>
                </c:pt>
                <c:pt idx="4">
                  <c:v>El-, värme- och fjärrkylaförbrukning</c:v>
                </c:pt>
                <c:pt idx="5">
                  <c:v>Indirekta emissioner från företagsägda bilar och reservkraft</c:v>
                </c:pt>
                <c:pt idx="6">
                  <c:v>Indirekta utsläpp från produktion av kemikalier</c:v>
                </c:pt>
                <c:pt idx="7">
                  <c:v>Inköpta transporter, av logistikbolag</c:v>
                </c:pt>
                <c:pt idx="8">
                  <c:v>Emissioner från restprodukter</c:v>
                </c:pt>
              </c:strCache>
            </c:strRef>
          </c:cat>
          <c:val>
            <c:numRef>
              <c:f>'Resultatpresentation i tabell'!$B$14:$J$14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dPt>
            <c:idx val="6"/>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C-B390-4C32-8F9A-E1C40FEFE6A7}"/>
              </c:ext>
            </c:extLst>
          </c:dPt>
          <c:cat>
            <c:strRef>
              <c:f>'Graf - Nyttor'!$B$4:$B$10</c:f>
              <c:strCache>
                <c:ptCount val="7"/>
                <c:pt idx="0">
                  <c:v>Scope 1</c:v>
                </c:pt>
                <c:pt idx="1">
                  <c:v>Scope 2</c:v>
                </c:pt>
                <c:pt idx="2">
                  <c:v>Scope 3</c:v>
                </c:pt>
                <c:pt idx="3">
                  <c:v>Fordonsbränsle</c:v>
                </c:pt>
                <c:pt idx="4">
                  <c:v>El och värme</c:v>
                </c:pt>
                <c:pt idx="5">
                  <c:v>Avloppsslam</c:v>
                </c:pt>
                <c:pt idx="6">
                  <c:v>Kalkpellets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356975"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2075" y="352425"/>
          <a:ext cx="13569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97333"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97333"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a:p>
          <a:r>
            <a:rPr lang="sv-SE" sz="1400" b="1">
              <a:solidFill>
                <a:schemeClr val="bg1">
                  <a:lumMod val="50000"/>
                </a:schemeClr>
              </a:solidFill>
            </a:rPr>
            <a:t>Randigt</a:t>
          </a:r>
          <a:r>
            <a:rPr lang="sv-SE" sz="1400"/>
            <a:t> = Potentiella nyttor</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zoomScale="90" zoomScaleNormal="90" workbookViewId="0">
      <selection activeCell="G22" sqref="G22"/>
    </sheetView>
  </sheetViews>
  <sheetFormatPr defaultColWidth="0" defaultRowHeight="0" customHeight="1" zeroHeight="1" x14ac:dyDescent="0.25"/>
  <cols>
    <col min="1" max="1" width="8.7109375" customWidth="1"/>
    <col min="2" max="10" width="25.7109375" customWidth="1"/>
    <col min="11" max="11" width="8.7109375" customWidth="1"/>
    <col min="12" max="16384" width="8.7109375" hidden="1"/>
  </cols>
  <sheetData>
    <row r="1" spans="2:10" ht="15" x14ac:dyDescent="0.25"/>
    <row r="2" spans="2:10" ht="15" x14ac:dyDescent="0.25">
      <c r="B2" s="22"/>
      <c r="C2" s="21"/>
    </row>
    <row r="3" spans="2:10" ht="15" x14ac:dyDescent="0.25">
      <c r="B3" s="20"/>
      <c r="C3" s="19"/>
    </row>
    <row r="4" spans="2:10" ht="15" x14ac:dyDescent="0.25">
      <c r="B4" s="20"/>
      <c r="C4" s="19"/>
    </row>
    <row r="5" spans="2:10" ht="15" x14ac:dyDescent="0.25"/>
    <row r="6" spans="2:10" ht="30" customHeight="1" x14ac:dyDescent="0.25">
      <c r="B6" s="18"/>
      <c r="C6" s="17"/>
      <c r="D6" s="17"/>
      <c r="E6" s="17"/>
      <c r="F6" s="6"/>
      <c r="G6" s="6"/>
      <c r="H6" s="5"/>
      <c r="I6" s="5"/>
      <c r="J6" s="5"/>
    </row>
    <row r="7" spans="2:10" ht="30" customHeight="1" x14ac:dyDescent="0.25">
      <c r="B7" s="4"/>
      <c r="C7" s="252" t="s">
        <v>0</v>
      </c>
      <c r="D7" s="252"/>
      <c r="E7" s="252"/>
      <c r="F7" s="252"/>
      <c r="G7" s="252"/>
      <c r="H7" s="252"/>
      <c r="I7" s="252"/>
      <c r="J7" s="16"/>
    </row>
    <row r="8" spans="2:10" ht="30" customHeight="1" x14ac:dyDescent="0.25">
      <c r="B8" s="4"/>
      <c r="C8" s="253" t="s">
        <v>1</v>
      </c>
      <c r="D8" s="253"/>
      <c r="E8" s="253"/>
      <c r="F8" s="253"/>
      <c r="G8" s="253"/>
      <c r="H8" s="253"/>
      <c r="I8" s="253"/>
      <c r="J8" s="15"/>
    </row>
    <row r="9" spans="2:10" ht="30" customHeight="1" x14ac:dyDescent="0.25">
      <c r="B9" s="4"/>
      <c r="C9" s="253"/>
      <c r="D9" s="253"/>
      <c r="E9" s="253"/>
      <c r="F9" s="253"/>
      <c r="G9" s="253"/>
      <c r="H9" s="253"/>
      <c r="I9" s="253"/>
      <c r="J9" s="15"/>
    </row>
    <row r="10" spans="2:10" ht="30" customHeight="1" x14ac:dyDescent="0.25">
      <c r="B10" s="4"/>
      <c r="C10" s="4"/>
      <c r="D10" s="4"/>
      <c r="E10" s="4"/>
      <c r="F10" s="15"/>
      <c r="G10" s="122" t="s">
        <v>2</v>
      </c>
      <c r="H10" s="15"/>
      <c r="I10" s="15"/>
      <c r="J10" s="15"/>
    </row>
    <row r="11" spans="2:10" ht="30" customHeight="1" x14ac:dyDescent="0.25">
      <c r="B11" s="4"/>
      <c r="C11" s="266" t="s">
        <v>3</v>
      </c>
      <c r="D11" s="266"/>
      <c r="E11" s="266"/>
      <c r="F11" s="266"/>
      <c r="G11" s="254" t="s">
        <v>4</v>
      </c>
      <c r="H11" s="254"/>
      <c r="I11" s="254"/>
      <c r="J11" s="121"/>
    </row>
    <row r="12" spans="2:10" ht="30" customHeight="1" x14ac:dyDescent="0.25">
      <c r="B12" s="4"/>
      <c r="C12" s="266"/>
      <c r="D12" s="266"/>
      <c r="E12" s="266"/>
      <c r="F12" s="266"/>
      <c r="G12" s="124" t="s">
        <v>5</v>
      </c>
      <c r="J12" s="121"/>
    </row>
    <row r="13" spans="2:10" ht="30" customHeight="1" x14ac:dyDescent="0.25">
      <c r="B13" s="4"/>
      <c r="C13" s="266"/>
      <c r="D13" s="266"/>
      <c r="E13" s="266"/>
      <c r="F13" s="266"/>
      <c r="G13" s="265" t="s">
        <v>6</v>
      </c>
      <c r="H13" s="265"/>
      <c r="I13" s="265"/>
      <c r="J13" s="15"/>
    </row>
    <row r="14" spans="2:10" ht="30" customHeight="1" x14ac:dyDescent="0.25">
      <c r="B14" s="4"/>
      <c r="D14" s="127"/>
      <c r="E14" s="127"/>
      <c r="F14" s="127"/>
      <c r="G14" s="123" t="s">
        <v>7</v>
      </c>
      <c r="H14" s="121"/>
      <c r="I14" s="121"/>
      <c r="J14" s="121"/>
    </row>
    <row r="15" spans="2:10" ht="30" customHeight="1" x14ac:dyDescent="0.25">
      <c r="B15" s="4"/>
      <c r="C15" s="266" t="s">
        <v>386</v>
      </c>
      <c r="D15" s="266"/>
      <c r="E15" s="266"/>
      <c r="F15" s="266"/>
      <c r="G15" s="255" t="s">
        <v>8</v>
      </c>
      <c r="H15" s="255"/>
      <c r="I15" s="255"/>
      <c r="J15" s="121"/>
    </row>
    <row r="16" spans="2:10" ht="30" customHeight="1" x14ac:dyDescent="0.25">
      <c r="B16" s="4"/>
      <c r="C16" s="266"/>
      <c r="D16" s="266"/>
      <c r="E16" s="266"/>
      <c r="F16" s="266"/>
      <c r="G16" s="124" t="s">
        <v>9</v>
      </c>
      <c r="H16" s="121"/>
      <c r="I16" s="121"/>
      <c r="J16" s="11"/>
    </row>
    <row r="17" spans="2:10" ht="30" customHeight="1" x14ac:dyDescent="0.25">
      <c r="B17" s="4"/>
      <c r="C17" s="266"/>
      <c r="D17" s="266"/>
      <c r="E17" s="266"/>
      <c r="F17" s="266"/>
      <c r="G17" s="256" t="s">
        <v>10</v>
      </c>
      <c r="H17" s="257"/>
      <c r="I17" s="258"/>
      <c r="J17" s="121"/>
    </row>
    <row r="18" spans="2:10" ht="30" customHeight="1" x14ac:dyDescent="0.25">
      <c r="B18" s="4"/>
      <c r="C18" s="9"/>
      <c r="D18" s="4"/>
      <c r="E18" s="4"/>
      <c r="F18" s="11"/>
      <c r="G18" s="125" t="s">
        <v>11</v>
      </c>
      <c r="H18" s="11"/>
      <c r="I18" s="11"/>
      <c r="J18" s="121"/>
    </row>
    <row r="19" spans="2:10" ht="30" customHeight="1" x14ac:dyDescent="0.25">
      <c r="B19" s="4"/>
      <c r="C19" s="266" t="s">
        <v>12</v>
      </c>
      <c r="D19" s="266"/>
      <c r="E19" s="266"/>
      <c r="F19" s="266"/>
      <c r="G19" s="259" t="s">
        <v>13</v>
      </c>
      <c r="H19" s="260"/>
      <c r="I19" s="261"/>
      <c r="J19" s="7"/>
    </row>
    <row r="20" spans="2:10" ht="30" customHeight="1" x14ac:dyDescent="0.25">
      <c r="B20" s="10"/>
      <c r="C20" s="266"/>
      <c r="D20" s="266"/>
      <c r="E20" s="266"/>
      <c r="F20" s="266"/>
      <c r="G20" s="126" t="s">
        <v>14</v>
      </c>
      <c r="H20" s="121"/>
      <c r="I20" s="121"/>
      <c r="J20" s="7"/>
    </row>
    <row r="21" spans="2:10" ht="30" customHeight="1" x14ac:dyDescent="0.25">
      <c r="B21" s="10"/>
      <c r="C21" s="266"/>
      <c r="D21" s="266"/>
      <c r="E21" s="266"/>
      <c r="F21" s="266"/>
      <c r="G21" s="262" t="s">
        <v>502</v>
      </c>
      <c r="H21" s="263"/>
      <c r="I21" s="264"/>
      <c r="J21" s="7"/>
    </row>
    <row r="22" spans="2:10" ht="30" customHeight="1" x14ac:dyDescent="0.25">
      <c r="B22" s="10"/>
      <c r="C22" s="14"/>
      <c r="D22" s="13"/>
      <c r="E22" s="13"/>
      <c r="F22" s="12"/>
      <c r="G22" s="12"/>
      <c r="H22" s="12"/>
      <c r="I22" s="12"/>
      <c r="J22" s="12"/>
    </row>
    <row r="23" spans="2:10" ht="30" customHeight="1" x14ac:dyDescent="0.25">
      <c r="B23" s="10"/>
      <c r="C23" s="9"/>
      <c r="D23" s="4"/>
      <c r="E23" s="4"/>
      <c r="F23" s="8"/>
      <c r="G23" s="8"/>
      <c r="H23" s="8"/>
      <c r="I23" s="8"/>
      <c r="J23" s="7"/>
    </row>
    <row r="24" spans="2:10" ht="30" customHeight="1" x14ac:dyDescent="0.25">
      <c r="B24" s="10"/>
      <c r="C24" s="9"/>
      <c r="D24" s="4"/>
      <c r="E24" s="4"/>
      <c r="F24" s="8"/>
      <c r="G24" s="8"/>
      <c r="H24" s="8"/>
      <c r="I24" s="8"/>
      <c r="J24" s="7"/>
    </row>
    <row r="25" spans="2:10" ht="30" customHeight="1" x14ac:dyDescent="0.25">
      <c r="B25" s="251"/>
      <c r="C25" s="251"/>
      <c r="D25" s="251"/>
      <c r="E25" s="3"/>
      <c r="F25" s="2"/>
      <c r="G25" s="2"/>
      <c r="H25" s="2"/>
      <c r="I25" s="2"/>
      <c r="J25" s="1"/>
    </row>
    <row r="26" spans="2:10" ht="30" customHeight="1" x14ac:dyDescent="0.25">
      <c r="B26" s="250"/>
      <c r="C26" s="250"/>
      <c r="D26" s="250"/>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52"/>
  <sheetViews>
    <sheetView showGridLines="0"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47" t="s">
        <v>373</v>
      </c>
      <c r="C3" s="347"/>
      <c r="D3" s="347"/>
      <c r="E3" s="347"/>
      <c r="F3" s="347"/>
      <c r="G3" s="347"/>
      <c r="H3" s="347"/>
      <c r="I3" s="347"/>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48"/>
      <c r="C17" s="348"/>
      <c r="D17" s="348"/>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row r="33" customFormat="1" ht="0" hidden="1" customHeight="1" x14ac:dyDescent="0.25"/>
    <row r="34" customFormat="1" ht="0" hidden="1" customHeight="1" x14ac:dyDescent="0.25"/>
    <row r="35" customFormat="1" ht="0" hidden="1" customHeight="1" x14ac:dyDescent="0.25"/>
    <row r="36" customFormat="1" ht="0" hidden="1" customHeight="1" x14ac:dyDescent="0.25"/>
    <row r="37" customFormat="1" ht="0" hidden="1" customHeight="1" x14ac:dyDescent="0.25"/>
    <row r="38" customFormat="1" ht="0" hidden="1" customHeight="1" x14ac:dyDescent="0.25"/>
    <row r="39" customFormat="1" ht="0" hidden="1" customHeight="1" x14ac:dyDescent="0.25"/>
    <row r="40" customFormat="1" ht="0"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row r="47" customFormat="1" ht="0" hidden="1" customHeight="1" x14ac:dyDescent="0.25"/>
    <row r="48" customFormat="1" ht="0" hidden="1" customHeight="1" x14ac:dyDescent="0.25"/>
    <row r="49" customFormat="1" ht="0" hidden="1" customHeight="1" x14ac:dyDescent="0.25"/>
    <row r="50" customFormat="1" ht="0" hidden="1" customHeight="1" x14ac:dyDescent="0.25"/>
    <row r="51" customFormat="1" ht="0" hidden="1" customHeight="1" x14ac:dyDescent="0.25"/>
    <row r="52" customFormat="1" ht="0" hidden="1" customHeight="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99"/>
  <sheetViews>
    <sheetView showGridLines="0" zoomScale="80" zoomScaleNormal="80" workbookViewId="0">
      <selection activeCell="G40" sqref="G40"/>
    </sheetView>
  </sheetViews>
  <sheetFormatPr defaultColWidth="0" defaultRowHeight="39.950000000000003" customHeight="1" zeroHeight="1" x14ac:dyDescent="0.25"/>
  <cols>
    <col min="1" max="1" width="8.7109375" customWidth="1"/>
    <col min="2" max="2" width="40.7109375" customWidth="1"/>
    <col min="3" max="3" width="60.7109375" customWidth="1"/>
    <col min="4" max="5" width="20.7109375" customWidth="1"/>
    <col min="6" max="6" width="40.7109375" customWidth="1"/>
    <col min="7" max="7" width="60.7109375" customWidth="1"/>
    <col min="8" max="8" width="8.7109375" customWidth="1"/>
    <col min="9" max="9" width="8.7109375" hidden="1" customWidth="1"/>
    <col min="10" max="10" width="30.7109375" hidden="1" customWidth="1"/>
    <col min="11" max="16384" width="8.7109375" hidden="1"/>
  </cols>
  <sheetData>
    <row r="1" spans="1:7" ht="39.950000000000003" customHeight="1" x14ac:dyDescent="0.25"/>
    <row r="2" spans="1:7" ht="39.950000000000003" customHeight="1" x14ac:dyDescent="0.25">
      <c r="A2" s="23">
        <v>1000</v>
      </c>
      <c r="B2" s="24"/>
      <c r="C2" s="24"/>
    </row>
    <row r="3" spans="1:7" ht="39.950000000000003" customHeight="1" x14ac:dyDescent="0.25">
      <c r="B3" s="338" t="s">
        <v>220</v>
      </c>
      <c r="C3" s="338"/>
      <c r="D3" s="338"/>
      <c r="E3" s="338"/>
      <c r="F3" s="338"/>
      <c r="G3" s="338"/>
    </row>
    <row r="4" spans="1:7" ht="39.950000000000003" customHeight="1" x14ac:dyDescent="0.25">
      <c r="B4" s="354" t="s">
        <v>221</v>
      </c>
      <c r="C4" s="354"/>
      <c r="D4" s="354"/>
      <c r="E4" s="354"/>
      <c r="F4" s="354"/>
      <c r="G4" s="354"/>
    </row>
    <row r="5" spans="1:7" ht="20.100000000000001" customHeight="1" x14ac:dyDescent="0.25">
      <c r="B5" s="63"/>
      <c r="C5" s="63"/>
      <c r="D5" s="63"/>
      <c r="E5" s="63"/>
      <c r="F5" s="63"/>
      <c r="G5" s="63"/>
    </row>
    <row r="6" spans="1:7" ht="39.950000000000003" customHeight="1" x14ac:dyDescent="0.25">
      <c r="B6" s="54" t="s">
        <v>68</v>
      </c>
      <c r="C6" s="55" t="s">
        <v>222</v>
      </c>
      <c r="D6" s="68"/>
      <c r="E6" s="68"/>
      <c r="F6" s="55" t="s">
        <v>234</v>
      </c>
      <c r="G6" s="55" t="s">
        <v>222</v>
      </c>
    </row>
    <row r="7" spans="1:7" ht="39.950000000000003" customHeight="1" x14ac:dyDescent="0.25">
      <c r="B7" s="56" t="s">
        <v>69</v>
      </c>
      <c r="C7" s="109" t="s">
        <v>466</v>
      </c>
      <c r="D7" s="28"/>
      <c r="E7" s="28"/>
      <c r="F7" s="58" t="s">
        <v>235</v>
      </c>
      <c r="G7" s="103" t="s">
        <v>236</v>
      </c>
    </row>
    <row r="8" spans="1:7" ht="39.950000000000003" customHeight="1" x14ac:dyDescent="0.25">
      <c r="B8" s="56" t="s">
        <v>33</v>
      </c>
      <c r="C8" s="109" t="s">
        <v>224</v>
      </c>
      <c r="D8" s="28"/>
      <c r="E8" s="28"/>
      <c r="F8" s="58" t="s">
        <v>391</v>
      </c>
      <c r="G8" s="103" t="s">
        <v>450</v>
      </c>
    </row>
    <row r="9" spans="1:7" ht="39.950000000000003" customHeight="1" x14ac:dyDescent="0.25">
      <c r="B9" s="58" t="s">
        <v>70</v>
      </c>
      <c r="C9" s="109" t="s">
        <v>225</v>
      </c>
      <c r="D9" s="28"/>
      <c r="E9" s="28"/>
      <c r="F9" s="58" t="s">
        <v>237</v>
      </c>
      <c r="G9" s="103" t="s">
        <v>454</v>
      </c>
    </row>
    <row r="10" spans="1:7" ht="39.950000000000003" customHeight="1" x14ac:dyDescent="0.25">
      <c r="B10" s="56" t="s">
        <v>71</v>
      </c>
      <c r="C10" s="235" t="s">
        <v>437</v>
      </c>
      <c r="D10" s="28"/>
      <c r="E10" s="28"/>
      <c r="F10" s="58" t="s">
        <v>238</v>
      </c>
      <c r="G10" s="103" t="s">
        <v>239</v>
      </c>
    </row>
    <row r="11" spans="1:7" ht="39.950000000000003" customHeight="1" x14ac:dyDescent="0.25">
      <c r="B11" s="236" t="s">
        <v>39</v>
      </c>
      <c r="C11" s="235" t="s">
        <v>436</v>
      </c>
      <c r="D11" s="28"/>
      <c r="E11" s="28"/>
      <c r="F11" s="112" t="s">
        <v>240</v>
      </c>
      <c r="G11" s="103" t="s">
        <v>241</v>
      </c>
    </row>
    <row r="12" spans="1:7" ht="39.950000000000003" customHeight="1" x14ac:dyDescent="0.25">
      <c r="D12" s="28"/>
      <c r="E12" s="28"/>
      <c r="F12" s="113" t="s">
        <v>242</v>
      </c>
      <c r="G12" s="103" t="s">
        <v>241</v>
      </c>
    </row>
    <row r="13" spans="1:7" ht="39.950000000000003" customHeight="1" x14ac:dyDescent="0.25">
      <c r="B13" s="55" t="s">
        <v>223</v>
      </c>
      <c r="C13" s="55" t="s">
        <v>222</v>
      </c>
      <c r="D13" s="68"/>
      <c r="E13" s="68"/>
      <c r="F13" s="112" t="s">
        <v>243</v>
      </c>
      <c r="G13" s="103" t="s">
        <v>241</v>
      </c>
    </row>
    <row r="14" spans="1:7" ht="39.950000000000003" customHeight="1" x14ac:dyDescent="0.25">
      <c r="B14" s="58" t="s">
        <v>75</v>
      </c>
      <c r="C14" s="237" t="s">
        <v>449</v>
      </c>
      <c r="D14" s="28"/>
      <c r="E14" s="28"/>
      <c r="F14" s="71" t="s">
        <v>244</v>
      </c>
      <c r="G14" s="103" t="s">
        <v>236</v>
      </c>
    </row>
    <row r="15" spans="1:7" ht="39.950000000000003" customHeight="1" x14ac:dyDescent="0.25">
      <c r="B15" s="58" t="s">
        <v>76</v>
      </c>
      <c r="C15" s="237" t="s">
        <v>448</v>
      </c>
      <c r="D15" s="28"/>
      <c r="E15" s="28"/>
      <c r="F15" s="71" t="s">
        <v>245</v>
      </c>
      <c r="G15" s="103" t="s">
        <v>236</v>
      </c>
    </row>
    <row r="16" spans="1:7" ht="39.950000000000003" customHeight="1" x14ac:dyDescent="0.25">
      <c r="B16" s="58" t="s">
        <v>57</v>
      </c>
      <c r="C16" s="111" t="s">
        <v>405</v>
      </c>
      <c r="D16" s="28"/>
      <c r="E16" s="28"/>
    </row>
    <row r="17" spans="2:7" ht="39.950000000000003" customHeight="1" x14ac:dyDescent="0.25">
      <c r="D17" s="28"/>
      <c r="E17" s="28"/>
      <c r="F17" s="54" t="s">
        <v>396</v>
      </c>
      <c r="G17" s="55" t="s">
        <v>222</v>
      </c>
    </row>
    <row r="18" spans="2:7" ht="39.950000000000003" customHeight="1" x14ac:dyDescent="0.25">
      <c r="B18" s="54" t="s">
        <v>77</v>
      </c>
      <c r="C18" s="55" t="s">
        <v>222</v>
      </c>
      <c r="D18" s="28"/>
      <c r="E18" s="28"/>
      <c r="F18" s="71" t="s">
        <v>246</v>
      </c>
      <c r="G18" s="237" t="str">
        <f>E83</f>
        <v>Magnusson &amp; Yngvesson (2023)</v>
      </c>
    </row>
    <row r="19" spans="2:7" ht="39.950000000000003" customHeight="1" x14ac:dyDescent="0.25">
      <c r="B19" s="56" t="str">
        <f>'Resultatpresentation i tabell'!C41</f>
        <v>Diesel MK1*</v>
      </c>
      <c r="C19" s="139" t="s">
        <v>467</v>
      </c>
      <c r="D19" s="28"/>
      <c r="E19" s="28"/>
      <c r="F19" s="71" t="s">
        <v>248</v>
      </c>
      <c r="G19" s="103" t="s">
        <v>249</v>
      </c>
    </row>
    <row r="20" spans="2:7" ht="39.950000000000003" customHeight="1" x14ac:dyDescent="0.25">
      <c r="B20" s="56" t="str">
        <f>'Resultatpresentation i tabell'!C42</f>
        <v>Diesel MK3</v>
      </c>
      <c r="C20" s="139" t="s">
        <v>467</v>
      </c>
      <c r="D20" s="28"/>
      <c r="E20" s="28"/>
      <c r="F20" s="71" t="s">
        <v>443</v>
      </c>
      <c r="G20" s="71" t="s">
        <v>247</v>
      </c>
    </row>
    <row r="21" spans="2:7" ht="39.950000000000003" customHeight="1" x14ac:dyDescent="0.25">
      <c r="B21" s="56" t="str">
        <f>'Resultatpresentation i tabell'!C43</f>
        <v>Bensin MK1</v>
      </c>
      <c r="C21" s="139" t="s">
        <v>467</v>
      </c>
      <c r="D21" s="86"/>
      <c r="E21" s="86"/>
    </row>
    <row r="22" spans="2:7" ht="39.950000000000003" customHeight="1" x14ac:dyDescent="0.25">
      <c r="B22" s="56" t="str">
        <f>'Resultatpresentation i tabell'!C44</f>
        <v>E85</v>
      </c>
      <c r="C22" s="139" t="s">
        <v>468</v>
      </c>
      <c r="D22" s="110"/>
      <c r="E22" s="110"/>
    </row>
    <row r="23" spans="2:7" ht="39.950000000000003" customHeight="1" x14ac:dyDescent="0.25">
      <c r="B23" s="56" t="str">
        <f>'Resultatpresentation i tabell'!C45</f>
        <v>HVO100</v>
      </c>
      <c r="C23" s="139" t="s">
        <v>468</v>
      </c>
    </row>
    <row r="24" spans="2:7" ht="39.950000000000003" customHeight="1" x14ac:dyDescent="0.25">
      <c r="B24" s="56" t="str">
        <f>'Resultatpresentation i tabell'!C46</f>
        <v>FAME100</v>
      </c>
      <c r="C24" s="139" t="s">
        <v>468</v>
      </c>
    </row>
    <row r="25" spans="2:7" ht="39.950000000000003" customHeight="1" x14ac:dyDescent="0.25">
      <c r="B25" s="71" t="s">
        <v>456</v>
      </c>
      <c r="C25" s="139" t="s">
        <v>468</v>
      </c>
    </row>
    <row r="26" spans="2:7" ht="39.950000000000003" customHeight="1" x14ac:dyDescent="0.25">
      <c r="B26" s="56" t="s">
        <v>457</v>
      </c>
      <c r="C26" s="139" t="s">
        <v>468</v>
      </c>
    </row>
    <row r="27" spans="2:7" ht="39.950000000000003" customHeight="1" x14ac:dyDescent="0.25">
      <c r="B27" s="242"/>
      <c r="C27" s="243"/>
      <c r="D27" s="168"/>
      <c r="E27" s="168"/>
      <c r="F27" s="168"/>
      <c r="G27" s="168"/>
    </row>
    <row r="28" spans="2:7" ht="39.950000000000003" customHeight="1" x14ac:dyDescent="0.25"/>
    <row r="29" spans="2:7" ht="39.950000000000003" customHeight="1" x14ac:dyDescent="0.25">
      <c r="B29" s="54" t="s">
        <v>226</v>
      </c>
      <c r="C29" s="54" t="s">
        <v>222</v>
      </c>
      <c r="F29" s="54" t="s">
        <v>206</v>
      </c>
      <c r="G29" s="54" t="s">
        <v>222</v>
      </c>
    </row>
    <row r="30" spans="2:7" ht="39.950000000000003" customHeight="1" x14ac:dyDescent="0.25">
      <c r="B30" s="71" t="s">
        <v>135</v>
      </c>
      <c r="C30" s="58" t="s">
        <v>227</v>
      </c>
      <c r="F30" s="71" t="str">
        <f>'Resultatpresentation i tabell'!H61</f>
        <v>Aktivt kol, fossilt ursprung</v>
      </c>
      <c r="G30" s="238" t="s">
        <v>428</v>
      </c>
    </row>
    <row r="31" spans="2:7" ht="39.950000000000003" customHeight="1" x14ac:dyDescent="0.25">
      <c r="B31" s="71" t="s">
        <v>136</v>
      </c>
      <c r="C31" s="58" t="s">
        <v>228</v>
      </c>
      <c r="F31" s="71" t="str">
        <f>'Resultatpresentation i tabell'!H62</f>
        <v>Aktivt kol, reaktiverat</v>
      </c>
      <c r="G31" s="237" t="s">
        <v>429</v>
      </c>
    </row>
    <row r="32" spans="2:7" ht="39.950000000000003" customHeight="1" x14ac:dyDescent="0.25">
      <c r="B32" s="71" t="s">
        <v>137</v>
      </c>
      <c r="C32" s="58" t="s">
        <v>229</v>
      </c>
      <c r="F32" s="71" t="str">
        <f>'Resultatpresentation i tabell'!H63</f>
        <v>Sand</v>
      </c>
      <c r="G32" s="239" t="s">
        <v>458</v>
      </c>
    </row>
    <row r="33" spans="2:7" ht="39.950000000000003" customHeight="1" x14ac:dyDescent="0.25">
      <c r="B33" s="71" t="s">
        <v>138</v>
      </c>
      <c r="C33" s="58" t="s">
        <v>230</v>
      </c>
      <c r="F33" s="71" t="str">
        <f>'Resultatpresentation i tabell'!H64</f>
        <v>Bränd kalk (CaO)</v>
      </c>
      <c r="G33" s="89" t="s">
        <v>252</v>
      </c>
    </row>
    <row r="34" spans="2:7" ht="39.950000000000003" customHeight="1" x14ac:dyDescent="0.25">
      <c r="B34" s="71" t="s">
        <v>139</v>
      </c>
      <c r="C34" s="58" t="s">
        <v>231</v>
      </c>
      <c r="F34" s="71" t="str">
        <f>'Resultatpresentation i tabell'!H65</f>
        <v>Släckt kalk (Ca(OH)2)</v>
      </c>
      <c r="G34" s="89" t="s">
        <v>255</v>
      </c>
    </row>
    <row r="35" spans="2:7" ht="39.950000000000003" customHeight="1" x14ac:dyDescent="0.25">
      <c r="B35" s="71" t="s">
        <v>462</v>
      </c>
      <c r="C35" s="71" t="s">
        <v>463</v>
      </c>
      <c r="F35" s="71" t="str">
        <f>'Resultatpresentation i tabell'!H66</f>
        <v>Kalksten (CaCO3)</v>
      </c>
      <c r="G35" s="238" t="s">
        <v>442</v>
      </c>
    </row>
    <row r="36" spans="2:7" ht="39.950000000000003" customHeight="1" x14ac:dyDescent="0.25">
      <c r="B36" s="71" t="s">
        <v>232</v>
      </c>
      <c r="C36" s="58" t="s">
        <v>233</v>
      </c>
      <c r="D36" s="70"/>
      <c r="E36" s="70"/>
      <c r="F36" s="71" t="str">
        <f>'Resultatpresentation i tabell'!H67</f>
        <v>Natriumhydroxid (50 %)</v>
      </c>
      <c r="G36" s="238" t="s">
        <v>431</v>
      </c>
    </row>
    <row r="37" spans="2:7" ht="39.950000000000003" customHeight="1" x14ac:dyDescent="0.25">
      <c r="D37" s="70"/>
      <c r="E37" s="70"/>
      <c r="F37" s="71" t="str">
        <f>'Resultatpresentation i tabell'!H68</f>
        <v xml:space="preserve">Klor </v>
      </c>
      <c r="G37" s="238" t="s">
        <v>432</v>
      </c>
    </row>
    <row r="38" spans="2:7" ht="39.950000000000003" customHeight="1" x14ac:dyDescent="0.25">
      <c r="B38" s="54" t="s">
        <v>209</v>
      </c>
      <c r="C38" s="54" t="s">
        <v>222</v>
      </c>
      <c r="D38" s="70"/>
      <c r="E38" s="70"/>
      <c r="F38" s="71" t="str">
        <f>'Resultatpresentation i tabell'!H69</f>
        <v>Natriumhypoklorit (50%)</v>
      </c>
      <c r="G38" s="238" t="s">
        <v>433</v>
      </c>
    </row>
    <row r="39" spans="2:7" ht="39.950000000000003" customHeight="1" x14ac:dyDescent="0.25">
      <c r="B39" s="58" t="str">
        <f>'Lägg in data här för kemikalier'!C23</f>
        <v>Järnklorid (PIX-111)</v>
      </c>
      <c r="C39" s="109" t="s">
        <v>496</v>
      </c>
      <c r="F39" s="71" t="str">
        <f>'Resultatpresentation i tabell'!H70</f>
        <v>Väteperoxid (49%)</v>
      </c>
      <c r="G39" s="89" t="s">
        <v>465</v>
      </c>
    </row>
    <row r="40" spans="2:7" ht="39.950000000000003" customHeight="1" x14ac:dyDescent="0.25">
      <c r="B40" s="58" t="str">
        <f>'Lägg in data här för kemikalier'!C24</f>
        <v>Järnklorid (Plusjärn S 314)</v>
      </c>
      <c r="C40" s="109" t="s">
        <v>497</v>
      </c>
      <c r="F40" s="71" t="str">
        <f>'Resultatpresentation i tabell'!H71</f>
        <v>Svavelsyra (96%)</v>
      </c>
      <c r="G40" s="89" t="s">
        <v>501</v>
      </c>
    </row>
    <row r="41" spans="2:7" ht="39.950000000000003" customHeight="1" x14ac:dyDescent="0.25">
      <c r="B41" s="58" t="str">
        <f>'Lägg in data här för kemikalier'!C25</f>
        <v>Järnsulfat 
(tvåvärd, t.ex. Quickfloc)</v>
      </c>
      <c r="C41" s="109" t="s">
        <v>498</v>
      </c>
      <c r="D41" s="95"/>
      <c r="E41" s="95"/>
      <c r="F41" s="71" t="str">
        <f>'Resultatpresentation i tabell'!H72</f>
        <v>Saltsyra (32%)</v>
      </c>
      <c r="G41" s="89" t="s">
        <v>500</v>
      </c>
    </row>
    <row r="42" spans="2:7" ht="39.950000000000003" customHeight="1" x14ac:dyDescent="0.25">
      <c r="B42" s="58" t="str">
        <f>'Lägg in data här för kemikalier'!C26</f>
        <v>Järnsulfat (PIX-113)</v>
      </c>
      <c r="C42" s="109" t="s">
        <v>496</v>
      </c>
      <c r="D42" s="95"/>
      <c r="E42" s="95"/>
      <c r="F42" s="71" t="str">
        <f>'Resultatpresentation i tabell'!H73</f>
        <v>Salpetersyra (60%)</v>
      </c>
      <c r="G42" s="89" t="s">
        <v>434</v>
      </c>
    </row>
    <row r="43" spans="2:7" ht="39.950000000000003" customHeight="1" x14ac:dyDescent="0.25">
      <c r="B43" s="58" t="str">
        <f>'Lägg in data här för kemikalier'!C27</f>
        <v>Järnkloridsulfat (PIX-118)</v>
      </c>
      <c r="C43" s="109" t="s">
        <v>496</v>
      </c>
      <c r="D43" s="95"/>
      <c r="E43" s="95"/>
      <c r="F43" s="71" t="str">
        <f>'Resultatpresentation i tabell'!H74</f>
        <v>Ammoniumsulfat</v>
      </c>
      <c r="G43" s="89" t="s">
        <v>267</v>
      </c>
    </row>
    <row r="44" spans="2:7" ht="39.950000000000003" customHeight="1" x14ac:dyDescent="0.25">
      <c r="B44" s="58" t="str">
        <f>'Lägg in data här för kemikalier'!C28</f>
        <v>Aluminiumjärnklorid 
(Ekomix 1091)</v>
      </c>
      <c r="C44" s="109" t="s">
        <v>497</v>
      </c>
      <c r="D44" s="95"/>
      <c r="E44" s="95"/>
      <c r="F44" s="71" t="str">
        <f>'Resultatpresentation i tabell'!H75</f>
        <v>Syrgas</v>
      </c>
      <c r="G44" s="89" t="s">
        <v>270</v>
      </c>
    </row>
    <row r="45" spans="2:7" ht="39.950000000000003" customHeight="1" x14ac:dyDescent="0.25">
      <c r="B45" s="58" t="str">
        <f>'Lägg in data här för kemikalier'!C29</f>
        <v>Aluminiumsulfat (ALG)</v>
      </c>
      <c r="C45" s="109" t="s">
        <v>496</v>
      </c>
      <c r="D45" s="95"/>
      <c r="E45" s="95"/>
      <c r="F45" s="71" t="str">
        <f>'Resultatpresentation i tabell'!H76</f>
        <v>Natriumsilikat</v>
      </c>
      <c r="G45" s="89" t="s">
        <v>271</v>
      </c>
    </row>
    <row r="46" spans="2:7" ht="39.950000000000003" customHeight="1" x14ac:dyDescent="0.25">
      <c r="B46" s="58" t="str">
        <f>'Lägg in data här för kemikalier'!C30</f>
        <v>PAC (Ekoflock 54)</v>
      </c>
      <c r="C46" s="109" t="s">
        <v>497</v>
      </c>
      <c r="D46" s="95"/>
      <c r="E46" s="95"/>
      <c r="F46" s="71" t="str">
        <f>'Resultatpresentation i tabell'!H77</f>
        <v>Natriumkarbonat</v>
      </c>
      <c r="G46" s="89" t="s">
        <v>272</v>
      </c>
    </row>
    <row r="47" spans="2:7" ht="39.950000000000003" customHeight="1" x14ac:dyDescent="0.25">
      <c r="B47" s="58" t="str">
        <f>'Lägg in data här för kemikalier'!C31</f>
        <v>PAC (Ekoflock 70)</v>
      </c>
      <c r="C47" s="109" t="s">
        <v>497</v>
      </c>
      <c r="D47" s="95"/>
      <c r="E47" s="95"/>
      <c r="F47" s="71" t="str">
        <f>'Resultatpresentation i tabell'!H78</f>
        <v>Koldioxid</v>
      </c>
      <c r="G47" s="89" t="s">
        <v>273</v>
      </c>
    </row>
    <row r="48" spans="2:7" ht="39.950000000000003" customHeight="1" x14ac:dyDescent="0.25">
      <c r="B48" s="58" t="str">
        <f>'Lägg in data här för kemikalier'!C32</f>
        <v>PAC (Ekoflock 75)</v>
      </c>
      <c r="C48" s="109" t="s">
        <v>497</v>
      </c>
      <c r="D48" s="95"/>
      <c r="E48" s="95"/>
      <c r="F48" s="71" t="str">
        <f>'Resultatpresentation i tabell'!H79</f>
        <v>Natriumbisulfit</v>
      </c>
      <c r="G48" s="89" t="s">
        <v>274</v>
      </c>
    </row>
    <row r="49" spans="2:7" ht="39.950000000000003" customHeight="1" x14ac:dyDescent="0.25">
      <c r="B49" s="58" t="str">
        <f>'Lägg in data här för kemikalier'!C33</f>
        <v>PAC (Ekoflock 90, 91, 92)</v>
      </c>
      <c r="C49" s="109" t="s">
        <v>497</v>
      </c>
      <c r="D49" s="95"/>
      <c r="E49" s="95"/>
      <c r="F49" s="71" t="str">
        <f>'Resultatpresentation i tabell'!H80</f>
        <v>Citronsyra</v>
      </c>
      <c r="G49" s="89" t="s">
        <v>275</v>
      </c>
    </row>
    <row r="50" spans="2:7" ht="39.950000000000003" customHeight="1" x14ac:dyDescent="0.25">
      <c r="B50" s="58" t="str">
        <f>'Lägg in data här för kemikalier'!C34</f>
        <v>PAC (Ekoflock 96)</v>
      </c>
      <c r="C50" s="109" t="s">
        <v>497</v>
      </c>
      <c r="D50" s="95"/>
      <c r="E50" s="95"/>
      <c r="F50" s="71" t="str">
        <f>'Resultatpresentation i tabell'!H81</f>
        <v>Kalciumnitrat</v>
      </c>
      <c r="G50" s="71" t="s">
        <v>397</v>
      </c>
    </row>
    <row r="51" spans="2:7" ht="39.950000000000003" customHeight="1" x14ac:dyDescent="0.25">
      <c r="B51" s="58" t="str">
        <f>'Lägg in data här för kemikalier'!C35</f>
        <v>PAC (Pluspac S 1465)</v>
      </c>
      <c r="C51" s="109" t="s">
        <v>497</v>
      </c>
      <c r="D51" s="95"/>
      <c r="E51" s="95"/>
    </row>
    <row r="52" spans="2:7" ht="39.950000000000003" customHeight="1" x14ac:dyDescent="0.25">
      <c r="B52" s="58" t="str">
        <f>'Lägg in data här för kemikalier'!C36</f>
        <v>PAC (PAX-15)</v>
      </c>
      <c r="C52" s="109" t="s">
        <v>496</v>
      </c>
      <c r="D52" s="95"/>
      <c r="E52" s="95"/>
    </row>
    <row r="53" spans="2:7" ht="39.950000000000003" customHeight="1" x14ac:dyDescent="0.25">
      <c r="B53" s="58" t="str">
        <f>'Lägg in data här för kemikalier'!C37</f>
        <v>PAC (PAX-215)</v>
      </c>
      <c r="C53" s="109" t="s">
        <v>496</v>
      </c>
      <c r="D53" s="95"/>
      <c r="E53" s="95"/>
    </row>
    <row r="54" spans="2:7" ht="39.950000000000003" customHeight="1" x14ac:dyDescent="0.25">
      <c r="B54" s="58" t="str">
        <f>'Lägg in data här för kemikalier'!C38</f>
        <v>PAC (PAX-XL60)</v>
      </c>
      <c r="C54" s="109" t="s">
        <v>496</v>
      </c>
      <c r="D54" s="95"/>
      <c r="E54" s="95"/>
    </row>
    <row r="55" spans="2:7" ht="39.950000000000003" customHeight="1" x14ac:dyDescent="0.25">
      <c r="B55" s="58" t="str">
        <f>'Lägg in data här för kemikalier'!C39</f>
        <v>PAC (PAX-XL260)</v>
      </c>
      <c r="C55" s="109" t="s">
        <v>496</v>
      </c>
      <c r="D55" s="95"/>
      <c r="E55" s="95"/>
    </row>
    <row r="56" spans="2:7" ht="39.950000000000003" customHeight="1" x14ac:dyDescent="0.25">
      <c r="B56" s="58" t="str">
        <f>'Lägg in data här för kemikalier'!C40</f>
        <v>PAC (PAX-XL100)</v>
      </c>
      <c r="C56" s="109" t="s">
        <v>496</v>
      </c>
      <c r="D56" s="95"/>
      <c r="E56" s="95"/>
    </row>
    <row r="57" spans="2:7" ht="39.950000000000003" customHeight="1" x14ac:dyDescent="0.25">
      <c r="B57" s="248"/>
      <c r="C57" s="249"/>
      <c r="D57" s="95"/>
      <c r="E57" s="95"/>
    </row>
    <row r="58" spans="2:7" ht="39.950000000000003" customHeight="1" x14ac:dyDescent="0.25">
      <c r="B58" s="54" t="s">
        <v>143</v>
      </c>
      <c r="C58" s="55" t="s">
        <v>222</v>
      </c>
      <c r="D58" s="95"/>
      <c r="E58" s="95"/>
    </row>
    <row r="59" spans="2:7" ht="39.950000000000003" customHeight="1" x14ac:dyDescent="0.25">
      <c r="B59" s="89" t="s">
        <v>144</v>
      </c>
      <c r="C59" s="111" t="s">
        <v>250</v>
      </c>
      <c r="D59" s="95"/>
      <c r="E59" s="95"/>
    </row>
    <row r="60" spans="2:7" ht="39.950000000000003" customHeight="1" x14ac:dyDescent="0.25">
      <c r="B60" s="168"/>
      <c r="C60" s="168"/>
      <c r="D60" s="191"/>
      <c r="E60" s="191"/>
      <c r="F60" s="168"/>
      <c r="G60" s="168"/>
    </row>
    <row r="61" spans="2:7" ht="39.950000000000003" customHeight="1" x14ac:dyDescent="0.25">
      <c r="D61" s="95"/>
      <c r="E61" s="95"/>
    </row>
    <row r="62" spans="2:7" ht="39.950000000000003" customHeight="1" x14ac:dyDescent="0.25">
      <c r="B62" s="79" t="s">
        <v>257</v>
      </c>
      <c r="C62" s="114" t="s">
        <v>222</v>
      </c>
      <c r="D62" s="95"/>
      <c r="E62" s="95"/>
      <c r="F62" s="79" t="s">
        <v>251</v>
      </c>
      <c r="G62" s="114" t="s">
        <v>222</v>
      </c>
    </row>
    <row r="63" spans="2:7" ht="39.950000000000003" customHeight="1" x14ac:dyDescent="0.25">
      <c r="B63" s="103" t="s">
        <v>446</v>
      </c>
      <c r="C63" s="237" t="s">
        <v>447</v>
      </c>
      <c r="D63" s="95"/>
      <c r="E63" s="95"/>
      <c r="F63" s="103" t="s">
        <v>253</v>
      </c>
      <c r="G63" s="111" t="s">
        <v>254</v>
      </c>
    </row>
    <row r="64" spans="2:7" ht="39.950000000000003" customHeight="1" x14ac:dyDescent="0.25">
      <c r="B64" s="103" t="s">
        <v>61</v>
      </c>
      <c r="C64" s="109" t="str">
        <f>C7</f>
        <v>Energimarknadsinspektionen (2024)</v>
      </c>
      <c r="D64" s="95"/>
      <c r="E64" s="95"/>
      <c r="F64" s="103" t="s">
        <v>256</v>
      </c>
      <c r="G64" s="139" t="str">
        <f>C23</f>
        <v>Energimyndigheten (2024)</v>
      </c>
    </row>
    <row r="65" spans="2:7" ht="39.950000000000003" customHeight="1" x14ac:dyDescent="0.25">
      <c r="B65" s="103" t="s">
        <v>258</v>
      </c>
      <c r="C65" s="111" t="str">
        <f>C16</f>
        <v>Energiföretagen (2022)</v>
      </c>
      <c r="D65" s="95"/>
      <c r="E65" s="95"/>
    </row>
    <row r="66" spans="2:7" ht="39.950000000000003" customHeight="1" x14ac:dyDescent="0.25">
      <c r="B66" s="103" t="s">
        <v>259</v>
      </c>
      <c r="C66" s="111" t="s">
        <v>260</v>
      </c>
      <c r="D66" s="95"/>
      <c r="E66" s="95"/>
    </row>
    <row r="67" spans="2:7" ht="39.950000000000003" customHeight="1" x14ac:dyDescent="0.25">
      <c r="B67" s="103" t="s">
        <v>261</v>
      </c>
      <c r="C67" s="111" t="s">
        <v>262</v>
      </c>
      <c r="D67" s="95"/>
      <c r="E67" s="95"/>
    </row>
    <row r="68" spans="2:7" ht="39.950000000000003" customHeight="1" x14ac:dyDescent="0.25">
      <c r="B68" s="103" t="s">
        <v>263</v>
      </c>
      <c r="C68" s="111" t="s">
        <v>264</v>
      </c>
      <c r="D68" s="95"/>
      <c r="E68" s="95"/>
    </row>
    <row r="69" spans="2:7" ht="39.950000000000003" customHeight="1" x14ac:dyDescent="0.25">
      <c r="B69" s="103" t="s">
        <v>265</v>
      </c>
      <c r="C69" s="111" t="s">
        <v>266</v>
      </c>
      <c r="D69" s="95"/>
      <c r="E69" s="95"/>
    </row>
    <row r="70" spans="2:7" ht="39.950000000000003" customHeight="1" x14ac:dyDescent="0.25">
      <c r="B70" s="103" t="s">
        <v>268</v>
      </c>
      <c r="C70" s="111" t="s">
        <v>266</v>
      </c>
      <c r="D70" s="95"/>
      <c r="E70" s="95"/>
    </row>
    <row r="71" spans="2:7" ht="39.950000000000003" customHeight="1" x14ac:dyDescent="0.25">
      <c r="B71" s="71" t="s">
        <v>362</v>
      </c>
      <c r="C71" s="71" t="s">
        <v>392</v>
      </c>
      <c r="D71" s="95"/>
      <c r="E71" s="95"/>
    </row>
    <row r="72" spans="2:7" ht="39.950000000000003" customHeight="1" x14ac:dyDescent="0.25">
      <c r="B72" s="103" t="s">
        <v>269</v>
      </c>
      <c r="C72" s="89" t="str">
        <f>G35</f>
        <v xml:space="preserve">GCC fine (malen kalksten) (CCA, 2021) </v>
      </c>
      <c r="D72" s="95"/>
      <c r="E72" s="95"/>
    </row>
    <row r="73" spans="2:7" ht="39.950000000000003" customHeight="1" x14ac:dyDescent="0.25">
      <c r="D73" s="95"/>
      <c r="E73" s="95"/>
    </row>
    <row r="74" spans="2:7" ht="39.950000000000003" customHeight="1" x14ac:dyDescent="0.25">
      <c r="B74" s="292" t="s">
        <v>276</v>
      </c>
      <c r="C74" s="292"/>
      <c r="D74" s="292"/>
      <c r="E74" s="292"/>
      <c r="F74" s="292"/>
      <c r="G74" s="292"/>
    </row>
    <row r="75" spans="2:7" ht="39.950000000000003" customHeight="1" x14ac:dyDescent="0.25">
      <c r="B75" s="353"/>
      <c r="C75" s="353"/>
      <c r="D75" s="353"/>
      <c r="E75" s="353"/>
      <c r="F75" s="353"/>
      <c r="G75" s="353"/>
    </row>
    <row r="76" spans="2:7" ht="20.100000000000001" customHeight="1" x14ac:dyDescent="0.25">
      <c r="B76" s="90"/>
      <c r="C76" s="90"/>
      <c r="D76" s="95"/>
      <c r="E76" s="95"/>
      <c r="F76" s="95"/>
      <c r="G76" s="90"/>
    </row>
    <row r="77" spans="2:7" ht="39.950000000000003" customHeight="1" x14ac:dyDescent="0.25">
      <c r="B77" s="79" t="s">
        <v>277</v>
      </c>
      <c r="C77" s="77" t="s">
        <v>278</v>
      </c>
      <c r="D77" s="77" t="s">
        <v>279</v>
      </c>
      <c r="E77" s="359" t="s">
        <v>222</v>
      </c>
      <c r="F77" s="359"/>
      <c r="G77" s="90"/>
    </row>
    <row r="78" spans="2:7" ht="39.950000000000003" customHeight="1" x14ac:dyDescent="0.25">
      <c r="B78" s="58" t="s">
        <v>280</v>
      </c>
      <c r="C78" s="71">
        <v>2.7000000000000001E-3</v>
      </c>
      <c r="D78" s="103" t="s">
        <v>281</v>
      </c>
      <c r="E78" s="360" t="s">
        <v>399</v>
      </c>
      <c r="F78" s="360"/>
      <c r="G78" s="90"/>
    </row>
    <row r="79" spans="2:7" ht="39.950000000000003" customHeight="1" x14ac:dyDescent="0.25">
      <c r="B79" s="58" t="s">
        <v>282</v>
      </c>
      <c r="C79" s="71">
        <v>1.5699999999999999E-2</v>
      </c>
      <c r="D79" s="103" t="s">
        <v>283</v>
      </c>
      <c r="E79" s="361" t="s">
        <v>284</v>
      </c>
      <c r="F79" s="361"/>
      <c r="G79" s="90"/>
    </row>
    <row r="80" spans="2:7" ht="39.950000000000003" customHeight="1" x14ac:dyDescent="0.25">
      <c r="B80" s="58" t="s">
        <v>379</v>
      </c>
      <c r="C80" s="192">
        <f>0.04*1.57</f>
        <v>6.2800000000000009E-2</v>
      </c>
      <c r="D80" s="103" t="s">
        <v>283</v>
      </c>
      <c r="E80" s="355" t="s">
        <v>285</v>
      </c>
      <c r="F80" s="356"/>
      <c r="G80" s="90"/>
    </row>
    <row r="81" spans="2:7" ht="39.950000000000003" customHeight="1" x14ac:dyDescent="0.25">
      <c r="B81" s="58" t="s">
        <v>378</v>
      </c>
      <c r="C81" s="192">
        <f>0.017*1.57</f>
        <v>2.6690000000000002E-2</v>
      </c>
      <c r="D81" s="103" t="s">
        <v>283</v>
      </c>
      <c r="E81" s="355" t="s">
        <v>285</v>
      </c>
      <c r="F81" s="356"/>
      <c r="G81" s="90"/>
    </row>
    <row r="82" spans="2:7" ht="39.950000000000003" customHeight="1" x14ac:dyDescent="0.25">
      <c r="B82" s="58" t="s">
        <v>286</v>
      </c>
      <c r="C82" s="56">
        <v>1.1000000000000001</v>
      </c>
      <c r="D82" s="58" t="s">
        <v>287</v>
      </c>
      <c r="E82" s="349" t="s">
        <v>288</v>
      </c>
      <c r="F82" s="350"/>
      <c r="G82" s="90"/>
    </row>
    <row r="83" spans="2:7" ht="39.950000000000003" customHeight="1" x14ac:dyDescent="0.25">
      <c r="B83" s="58" t="s">
        <v>419</v>
      </c>
      <c r="C83" s="71">
        <v>2.2999999999999998</v>
      </c>
      <c r="D83" s="103" t="s">
        <v>115</v>
      </c>
      <c r="E83" s="357" t="s">
        <v>461</v>
      </c>
      <c r="F83" s="358"/>
      <c r="G83" s="90"/>
    </row>
    <row r="84" spans="2:7" ht="39.950000000000003" customHeight="1" x14ac:dyDescent="0.25">
      <c r="B84" s="58" t="s">
        <v>418</v>
      </c>
      <c r="C84" s="71">
        <v>27</v>
      </c>
      <c r="D84" s="103" t="s">
        <v>289</v>
      </c>
      <c r="E84" s="355" t="s">
        <v>290</v>
      </c>
      <c r="F84" s="356"/>
      <c r="G84" s="90"/>
    </row>
    <row r="85" spans="2:7" ht="39.950000000000003" customHeight="1" x14ac:dyDescent="0.25">
      <c r="B85" s="103" t="s">
        <v>218</v>
      </c>
      <c r="C85" s="71">
        <v>6.8000000000000005E-2</v>
      </c>
      <c r="D85" s="103" t="s">
        <v>291</v>
      </c>
      <c r="E85" s="349" t="s">
        <v>247</v>
      </c>
      <c r="F85" s="350"/>
      <c r="G85" s="90"/>
    </row>
    <row r="86" spans="2:7" ht="39.950000000000003" customHeight="1" x14ac:dyDescent="0.25">
      <c r="B86" s="103" t="s">
        <v>412</v>
      </c>
      <c r="C86" s="71">
        <v>5.0000000000000001E-3</v>
      </c>
      <c r="D86" s="103" t="s">
        <v>292</v>
      </c>
      <c r="E86" s="349" t="s">
        <v>247</v>
      </c>
      <c r="F86" s="350"/>
      <c r="G86" s="90"/>
    </row>
    <row r="87" spans="2:7" ht="39.950000000000003" customHeight="1" x14ac:dyDescent="0.25">
      <c r="B87" s="103" t="s">
        <v>389</v>
      </c>
      <c r="C87" s="88">
        <v>2800</v>
      </c>
      <c r="D87" s="103" t="s">
        <v>451</v>
      </c>
      <c r="E87" s="349" t="s">
        <v>394</v>
      </c>
      <c r="F87" s="350"/>
      <c r="G87" s="90"/>
    </row>
    <row r="88" spans="2:7" ht="39.950000000000003" customHeight="1" x14ac:dyDescent="0.25">
      <c r="B88" s="103" t="s">
        <v>390</v>
      </c>
      <c r="C88" s="88">
        <v>10000</v>
      </c>
      <c r="D88" s="103" t="s">
        <v>451</v>
      </c>
      <c r="E88" s="351" t="s">
        <v>398</v>
      </c>
      <c r="F88" s="352"/>
      <c r="G88" s="90"/>
    </row>
    <row r="89" spans="2:7" ht="39.950000000000003" customHeight="1" x14ac:dyDescent="0.25">
      <c r="B89" s="103" t="s">
        <v>395</v>
      </c>
      <c r="C89" s="71">
        <v>0.8</v>
      </c>
      <c r="D89" s="103" t="s">
        <v>393</v>
      </c>
      <c r="E89" s="351" t="s">
        <v>394</v>
      </c>
      <c r="F89" s="352"/>
      <c r="G89" s="90"/>
    </row>
    <row r="90" spans="2:7" ht="39.950000000000003" customHeight="1" x14ac:dyDescent="0.25">
      <c r="G90" s="90"/>
    </row>
    <row r="91" spans="2:7" ht="39.950000000000003" customHeight="1" x14ac:dyDescent="0.25">
      <c r="B91" s="90"/>
      <c r="C91" s="63"/>
      <c r="D91" s="38"/>
      <c r="E91" s="38"/>
      <c r="F91" s="62"/>
      <c r="G91" s="90"/>
    </row>
    <row r="92" spans="2:7" ht="39.950000000000003" customHeight="1" x14ac:dyDescent="0.25">
      <c r="B92" s="300" t="s">
        <v>435</v>
      </c>
      <c r="C92" s="300"/>
      <c r="D92" s="300"/>
      <c r="E92" s="300"/>
      <c r="F92" s="300"/>
      <c r="G92" s="300"/>
    </row>
    <row r="93" spans="2:7" ht="39.950000000000003" customHeight="1" x14ac:dyDescent="0.25">
      <c r="B93" s="90"/>
      <c r="F93" s="62"/>
      <c r="G93" s="90"/>
    </row>
    <row r="94" spans="2:7" ht="39.950000000000003" customHeight="1" x14ac:dyDescent="0.25">
      <c r="B94" s="71" t="s">
        <v>293</v>
      </c>
      <c r="C94" s="71">
        <v>1</v>
      </c>
      <c r="D94" s="71" t="s">
        <v>294</v>
      </c>
      <c r="F94" s="62"/>
      <c r="G94" s="90"/>
    </row>
    <row r="95" spans="2:7" ht="39.950000000000003" customHeight="1" x14ac:dyDescent="0.25">
      <c r="B95" s="71" t="s">
        <v>455</v>
      </c>
      <c r="C95" s="71">
        <v>27</v>
      </c>
      <c r="D95" s="71" t="s">
        <v>294</v>
      </c>
      <c r="F95" s="62"/>
      <c r="G95" s="90"/>
    </row>
    <row r="96" spans="2:7" ht="39.950000000000003" customHeight="1" x14ac:dyDescent="0.25">
      <c r="B96" s="71" t="s">
        <v>295</v>
      </c>
      <c r="C96" s="71">
        <v>273</v>
      </c>
      <c r="D96" s="71" t="s">
        <v>294</v>
      </c>
      <c r="F96" s="62"/>
      <c r="G96" s="90"/>
    </row>
    <row r="97" spans="6:7" ht="39.950000000000003" customHeight="1" x14ac:dyDescent="0.25">
      <c r="F97" s="95"/>
      <c r="G97" s="28"/>
    </row>
    <row r="98" spans="6:7" ht="39.950000000000003" customHeight="1" x14ac:dyDescent="0.25"/>
    <row r="99" spans="6:7" ht="39.950000000000003" customHeight="1" x14ac:dyDescent="0.25"/>
  </sheetData>
  <sheetProtection sheet="1" objects="1" scenarios="1"/>
  <mergeCells count="18">
    <mergeCell ref="B3:G3"/>
    <mergeCell ref="B74:G74"/>
    <mergeCell ref="E77:F77"/>
    <mergeCell ref="E78:F78"/>
    <mergeCell ref="E79:F79"/>
    <mergeCell ref="E87:F87"/>
    <mergeCell ref="E88:F88"/>
    <mergeCell ref="B75:G75"/>
    <mergeCell ref="B92:G92"/>
    <mergeCell ref="B4:G4"/>
    <mergeCell ref="E80:F80"/>
    <mergeCell ref="E81:F81"/>
    <mergeCell ref="E82:F82"/>
    <mergeCell ref="E83:F83"/>
    <mergeCell ref="E84:F84"/>
    <mergeCell ref="E85:F85"/>
    <mergeCell ref="E86:F86"/>
    <mergeCell ref="E89:F8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34"/>
  <sheetViews>
    <sheetView showGridLines="0" topLeftCell="A2" zoomScale="80" zoomScaleNormal="80" workbookViewId="0">
      <selection activeCell="E11" sqref="E11"/>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62" t="s">
        <v>318</v>
      </c>
      <c r="C3" s="362"/>
      <c r="D3" s="362"/>
      <c r="E3" s="362"/>
      <c r="F3" s="362"/>
      <c r="G3" s="362"/>
      <c r="H3" s="362"/>
      <c r="I3" s="362"/>
    </row>
    <row r="4" spans="1:9" ht="33" customHeight="1" x14ac:dyDescent="0.25">
      <c r="B4" s="165"/>
      <c r="C4" s="253" t="s">
        <v>319</v>
      </c>
      <c r="D4" s="253"/>
      <c r="E4" s="253"/>
      <c r="F4" s="253"/>
      <c r="G4" s="253"/>
      <c r="H4" s="253"/>
      <c r="I4" s="165"/>
    </row>
    <row r="5" spans="1:9" ht="33" customHeight="1" x14ac:dyDescent="0.25">
      <c r="B5" s="193"/>
      <c r="C5" s="194"/>
      <c r="D5" s="195"/>
      <c r="E5" s="194"/>
      <c r="F5" s="194"/>
      <c r="G5" s="194"/>
      <c r="H5" s="194"/>
      <c r="I5" s="196"/>
    </row>
    <row r="6" spans="1:9" ht="33" customHeight="1" x14ac:dyDescent="0.25">
      <c r="B6" s="197"/>
      <c r="C6" s="198"/>
      <c r="D6" s="199"/>
      <c r="E6" s="198"/>
      <c r="F6" s="198"/>
      <c r="G6" s="198"/>
      <c r="H6" s="198"/>
      <c r="I6" s="200"/>
    </row>
    <row r="7" spans="1:9" ht="33" customHeight="1" x14ac:dyDescent="0.25">
      <c r="B7" s="197"/>
      <c r="C7" s="198"/>
      <c r="D7" s="199"/>
      <c r="E7" s="198"/>
      <c r="F7" s="198"/>
      <c r="G7" s="198"/>
      <c r="H7" s="198"/>
      <c r="I7" s="200"/>
    </row>
    <row r="8" spans="1:9" ht="33" customHeight="1" x14ac:dyDescent="0.25">
      <c r="B8" s="201"/>
      <c r="C8" s="198"/>
      <c r="D8" s="198"/>
      <c r="E8" s="198"/>
      <c r="F8" s="198"/>
      <c r="G8" s="198"/>
      <c r="H8" s="198"/>
      <c r="I8" s="200"/>
    </row>
    <row r="9" spans="1:9" ht="33" customHeight="1" x14ac:dyDescent="0.25">
      <c r="B9" s="202"/>
      <c r="C9" s="203"/>
      <c r="D9" s="203"/>
      <c r="E9" s="203"/>
      <c r="F9" s="203"/>
      <c r="G9" s="203"/>
      <c r="H9" s="203"/>
      <c r="I9" s="204"/>
    </row>
    <row r="10" spans="1:9" ht="33" customHeight="1" x14ac:dyDescent="0.25">
      <c r="B10" s="205"/>
      <c r="C10" s="206"/>
      <c r="D10" s="206"/>
      <c r="E10" s="207"/>
      <c r="F10" s="206"/>
      <c r="G10" s="199"/>
      <c r="H10" s="206"/>
      <c r="I10" s="208"/>
    </row>
    <row r="11" spans="1:9" ht="33" customHeight="1" x14ac:dyDescent="0.25">
      <c r="A11" s="23"/>
      <c r="B11" s="209"/>
      <c r="C11" s="199"/>
      <c r="D11" s="199"/>
      <c r="E11" s="206"/>
      <c r="F11" s="206"/>
      <c r="G11" s="210"/>
      <c r="H11" s="206"/>
      <c r="I11" s="211"/>
    </row>
    <row r="12" spans="1:9" ht="30" customHeight="1" x14ac:dyDescent="0.25">
      <c r="B12" s="209"/>
      <c r="C12" s="199"/>
      <c r="D12" s="199"/>
      <c r="E12" s="206"/>
      <c r="F12" s="206"/>
      <c r="G12" s="210"/>
      <c r="H12" s="206"/>
      <c r="I12" s="211"/>
    </row>
    <row r="13" spans="1:9" ht="30" customHeight="1" x14ac:dyDescent="0.25">
      <c r="B13" s="209"/>
      <c r="C13" s="199"/>
      <c r="D13" s="199"/>
      <c r="E13" s="206"/>
      <c r="F13" s="206"/>
      <c r="G13" s="210"/>
      <c r="H13" s="212"/>
      <c r="I13" s="211"/>
    </row>
    <row r="14" spans="1:9" ht="30" customHeight="1" x14ac:dyDescent="0.25">
      <c r="B14" s="209"/>
      <c r="C14" s="199"/>
      <c r="D14" s="199"/>
      <c r="E14" s="213"/>
      <c r="F14" s="206"/>
      <c r="G14" s="210"/>
      <c r="H14" s="212"/>
      <c r="I14" s="211"/>
    </row>
    <row r="15" spans="1:9" ht="30" customHeight="1" x14ac:dyDescent="0.25">
      <c r="B15" s="209"/>
      <c r="C15" s="199"/>
      <c r="D15" s="199"/>
      <c r="E15" s="206"/>
      <c r="F15" s="206"/>
      <c r="G15" s="199"/>
      <c r="H15" s="210"/>
      <c r="I15" s="214"/>
    </row>
    <row r="16" spans="1:9" ht="30" customHeight="1" x14ac:dyDescent="0.25">
      <c r="B16" s="215"/>
      <c r="C16" s="199"/>
      <c r="D16" s="199"/>
      <c r="E16" s="206"/>
      <c r="F16" s="210"/>
      <c r="G16" s="210"/>
      <c r="H16" s="210"/>
      <c r="I16" s="211"/>
    </row>
    <row r="17" spans="2:9" ht="30" customHeight="1" x14ac:dyDescent="0.25">
      <c r="B17" s="216"/>
      <c r="C17" s="217"/>
      <c r="D17" s="217"/>
      <c r="E17" s="213"/>
      <c r="F17" s="206"/>
      <c r="G17" s="199"/>
      <c r="H17" s="206"/>
      <c r="I17" s="208"/>
    </row>
    <row r="18" spans="2:9" ht="30" customHeight="1" x14ac:dyDescent="0.25">
      <c r="B18" s="209"/>
      <c r="C18" s="199"/>
      <c r="D18" s="199"/>
      <c r="E18" s="213"/>
      <c r="F18" s="218"/>
      <c r="G18" s="199"/>
      <c r="H18" s="206"/>
      <c r="I18" s="208"/>
    </row>
    <row r="19" spans="2:9" ht="30" customHeight="1" x14ac:dyDescent="0.25">
      <c r="B19" s="209"/>
      <c r="C19" s="199"/>
      <c r="D19" s="199"/>
      <c r="E19" s="207"/>
      <c r="F19" s="218"/>
      <c r="G19" s="199"/>
      <c r="H19" s="206"/>
      <c r="I19" s="208"/>
    </row>
    <row r="20" spans="2:9" ht="30" customHeight="1" x14ac:dyDescent="0.25">
      <c r="B20" s="209"/>
      <c r="C20" s="199"/>
      <c r="D20" s="199"/>
      <c r="E20" s="206"/>
      <c r="F20" s="212"/>
      <c r="G20" s="199"/>
      <c r="H20" s="212"/>
      <c r="I20" s="208"/>
    </row>
    <row r="21" spans="2:9" ht="30" customHeight="1" x14ac:dyDescent="0.25">
      <c r="B21" s="219"/>
      <c r="C21" s="220"/>
      <c r="D21" s="220"/>
      <c r="E21" s="221"/>
      <c r="F21" s="222"/>
      <c r="G21" s="220"/>
      <c r="H21" s="222"/>
      <c r="I21" s="223"/>
    </row>
    <row r="22" spans="2:9" ht="30" customHeight="1" x14ac:dyDescent="0.25">
      <c r="E22" s="25"/>
      <c r="F22" s="64"/>
      <c r="G22" s="70"/>
      <c r="H22" s="64"/>
      <c r="I22" s="28"/>
    </row>
    <row r="23" spans="2:9" ht="15" hidden="1" x14ac:dyDescent="0.25"/>
    <row r="24" spans="2:9" ht="15" hidden="1" x14ac:dyDescent="0.25"/>
    <row r="25" spans="2:9" ht="15" hidden="1" x14ac:dyDescent="0.25"/>
    <row r="26" spans="2:9" ht="15" hidden="1" x14ac:dyDescent="0.25"/>
    <row r="27" spans="2:9" ht="15" hidden="1" x14ac:dyDescent="0.25"/>
    <row r="33" customFormat="1" ht="0" hidden="1" customHeight="1" x14ac:dyDescent="0.25"/>
    <row r="34" customFormat="1" ht="0" hidden="1" customHeight="1" x14ac:dyDescent="0.25"/>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4" sqref="D4"/>
    </sheetView>
  </sheetViews>
  <sheetFormatPr defaultRowHeight="15" x14ac:dyDescent="0.25"/>
  <sheetData>
    <row r="3" spans="4:4" x14ac:dyDescent="0.25">
      <c r="D3" t="s">
        <v>34</v>
      </c>
    </row>
    <row r="4" spans="4:4" x14ac:dyDescent="0.25">
      <c r="D4" t="s">
        <v>296</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25"/>
  <cols>
    <col min="1" max="1" width="8.7109375" customWidth="1"/>
    <col min="2" max="13" width="25.7109375" customWidth="1"/>
    <col min="14" max="14" width="8.7109375" customWidth="1"/>
    <col min="15" max="16" width="0" hidden="1" customWidth="1"/>
    <col min="17" max="16384" width="8.7109375" hidden="1"/>
  </cols>
  <sheetData>
    <row r="1" spans="1:13" ht="15" hidden="1" x14ac:dyDescent="0.25"/>
    <row r="2" spans="1:13" ht="33" customHeight="1" x14ac:dyDescent="0.25">
      <c r="C2" s="24"/>
    </row>
    <row r="3" spans="1:13" ht="33" customHeight="1" x14ac:dyDescent="0.25">
      <c r="B3" s="282" t="s">
        <v>15</v>
      </c>
      <c r="C3" s="283"/>
      <c r="D3" s="283"/>
      <c r="E3" s="283"/>
      <c r="F3" s="283"/>
      <c r="G3" s="283"/>
      <c r="H3" s="283"/>
      <c r="I3" s="283"/>
      <c r="J3" s="283"/>
      <c r="K3" s="283"/>
      <c r="L3" s="283"/>
      <c r="M3" s="283"/>
    </row>
    <row r="4" spans="1:13" ht="33" customHeight="1" x14ac:dyDescent="0.25">
      <c r="B4" s="284" t="s">
        <v>16</v>
      </c>
      <c r="C4" s="284"/>
      <c r="D4" s="284"/>
      <c r="E4" s="284"/>
      <c r="F4" s="284"/>
      <c r="G4" s="284"/>
      <c r="H4" s="284"/>
      <c r="I4" s="284"/>
      <c r="J4" s="284"/>
      <c r="K4" s="284"/>
      <c r="L4" s="284"/>
      <c r="M4" s="284"/>
    </row>
    <row r="5" spans="1:13" ht="33" customHeight="1" x14ac:dyDescent="0.25"/>
    <row r="6" spans="1:13" ht="33" customHeight="1" x14ac:dyDescent="0.25">
      <c r="A6" s="23"/>
      <c r="B6" s="268" t="s">
        <v>17</v>
      </c>
      <c r="C6" s="268"/>
      <c r="D6" s="268"/>
      <c r="E6" s="59"/>
      <c r="F6" s="268" t="s">
        <v>18</v>
      </c>
      <c r="G6" s="268"/>
      <c r="H6" s="268"/>
      <c r="I6" s="59"/>
      <c r="J6" s="268" t="s">
        <v>19</v>
      </c>
      <c r="K6" s="268"/>
      <c r="L6" s="268"/>
      <c r="M6" s="59"/>
    </row>
    <row r="7" spans="1:13" ht="30" customHeight="1" x14ac:dyDescent="0.25">
      <c r="B7" s="269" t="s">
        <v>20</v>
      </c>
      <c r="C7" s="269"/>
      <c r="D7" s="269"/>
      <c r="E7" s="53"/>
      <c r="F7" s="269" t="s">
        <v>21</v>
      </c>
      <c r="G7" s="269"/>
      <c r="H7" s="269"/>
      <c r="I7" s="53"/>
      <c r="J7" s="269" t="s">
        <v>22</v>
      </c>
      <c r="K7" s="269"/>
      <c r="L7" s="269"/>
      <c r="M7" s="53"/>
    </row>
    <row r="8" spans="1:13" ht="30" customHeight="1" x14ac:dyDescent="0.25">
      <c r="B8" s="285"/>
      <c r="C8" s="285"/>
      <c r="D8" s="285"/>
      <c r="F8" s="285"/>
      <c r="G8" s="285"/>
      <c r="H8" s="285"/>
      <c r="J8" s="270"/>
      <c r="K8" s="270"/>
      <c r="L8" s="270"/>
      <c r="M8" s="27"/>
    </row>
    <row r="9" spans="1:13" ht="30" customHeight="1" x14ac:dyDescent="0.25">
      <c r="B9" s="54" t="s">
        <v>23</v>
      </c>
      <c r="C9" s="55" t="s">
        <v>24</v>
      </c>
      <c r="D9" s="55" t="s">
        <v>25</v>
      </c>
      <c r="E9" s="25"/>
      <c r="F9" s="54" t="s">
        <v>26</v>
      </c>
      <c r="G9" s="55" t="s">
        <v>27</v>
      </c>
      <c r="H9" s="55" t="s">
        <v>28</v>
      </c>
      <c r="I9" s="27"/>
      <c r="J9" s="54" t="s">
        <v>29</v>
      </c>
      <c r="K9" s="55" t="s">
        <v>30</v>
      </c>
      <c r="L9" s="55" t="s">
        <v>31</v>
      </c>
      <c r="M9" s="28"/>
    </row>
    <row r="10" spans="1:13" ht="30" customHeight="1" x14ac:dyDescent="0.25">
      <c r="B10" s="56" t="s">
        <v>32</v>
      </c>
      <c r="C10" s="56">
        <v>2.8719999999999999</v>
      </c>
      <c r="D10" s="57"/>
      <c r="E10" s="25"/>
      <c r="F10" s="56" t="s">
        <v>33</v>
      </c>
      <c r="G10" s="60"/>
      <c r="H10" s="61"/>
      <c r="I10" s="28"/>
      <c r="J10" s="56" t="s">
        <v>34</v>
      </c>
      <c r="K10" s="60"/>
      <c r="L10" s="61"/>
      <c r="M10" s="28"/>
    </row>
    <row r="11" spans="1:13" ht="30" customHeight="1" x14ac:dyDescent="0.25">
      <c r="B11" s="56" t="s">
        <v>35</v>
      </c>
      <c r="C11" s="56">
        <v>2.7080000000000002</v>
      </c>
      <c r="D11" s="57"/>
      <c r="E11" s="25"/>
      <c r="F11" s="56" t="s">
        <v>36</v>
      </c>
      <c r="G11" s="60"/>
      <c r="H11" s="61"/>
      <c r="I11" s="28"/>
      <c r="J11" s="58" t="s">
        <v>37</v>
      </c>
      <c r="K11" s="60"/>
      <c r="L11" s="61"/>
      <c r="M11" s="28"/>
    </row>
    <row r="12" spans="1:13" ht="30" customHeight="1" x14ac:dyDescent="0.25">
      <c r="B12" s="56" t="s">
        <v>38</v>
      </c>
      <c r="C12" s="56">
        <v>3.395</v>
      </c>
      <c r="D12" s="57"/>
      <c r="E12" s="25"/>
      <c r="F12" s="56" t="s">
        <v>39</v>
      </c>
      <c r="G12" s="60"/>
      <c r="H12" s="61"/>
      <c r="I12" s="28"/>
      <c r="J12" s="56" t="s">
        <v>40</v>
      </c>
      <c r="K12" s="60"/>
      <c r="L12" s="61"/>
      <c r="M12" s="28"/>
    </row>
    <row r="13" spans="1:13" ht="30" customHeight="1" x14ac:dyDescent="0.25">
      <c r="B13" s="56" t="s">
        <v>41</v>
      </c>
      <c r="C13" s="56">
        <v>1.127</v>
      </c>
      <c r="D13" s="57"/>
      <c r="E13" s="25"/>
      <c r="F13" s="56" t="s">
        <v>42</v>
      </c>
      <c r="G13" s="60"/>
      <c r="H13" s="61"/>
      <c r="I13" s="28"/>
      <c r="J13" s="56" t="s">
        <v>43</v>
      </c>
      <c r="K13" s="60"/>
      <c r="L13" s="61"/>
      <c r="M13" s="28"/>
    </row>
    <row r="14" spans="1:13" ht="30" customHeight="1" x14ac:dyDescent="0.25">
      <c r="B14" s="56" t="s">
        <v>44</v>
      </c>
      <c r="C14" s="58">
        <v>0.52</v>
      </c>
      <c r="D14" s="57"/>
      <c r="E14" s="25"/>
      <c r="F14" s="56" t="s">
        <v>45</v>
      </c>
      <c r="G14" s="60"/>
      <c r="H14" s="61"/>
      <c r="I14" s="28"/>
      <c r="J14" s="67"/>
      <c r="K14" s="60"/>
      <c r="L14" s="61"/>
      <c r="M14" s="28"/>
    </row>
    <row r="15" spans="1:13" ht="30" customHeight="1" x14ac:dyDescent="0.25">
      <c r="B15" s="56" t="s">
        <v>46</v>
      </c>
      <c r="C15" s="58">
        <v>1.079</v>
      </c>
      <c r="D15" s="57"/>
      <c r="E15" s="25"/>
      <c r="F15" s="28"/>
      <c r="G15" s="28"/>
      <c r="H15" s="28"/>
      <c r="I15" s="28"/>
      <c r="J15" s="267" t="s">
        <v>47</v>
      </c>
      <c r="K15" s="267"/>
      <c r="L15" s="267"/>
      <c r="M15" s="28"/>
    </row>
    <row r="16" spans="1:13" ht="30" customHeight="1" x14ac:dyDescent="0.25">
      <c r="B16" s="56" t="s">
        <v>48</v>
      </c>
      <c r="C16" s="58">
        <v>0.73899999999999999</v>
      </c>
      <c r="D16" s="57"/>
      <c r="E16" s="25"/>
      <c r="F16" s="268" t="s">
        <v>49</v>
      </c>
      <c r="G16" s="268"/>
      <c r="H16" s="268"/>
      <c r="I16" s="28"/>
      <c r="J16" s="268" t="s">
        <v>19</v>
      </c>
      <c r="K16" s="268"/>
      <c r="L16" s="268"/>
      <c r="M16" s="28"/>
    </row>
    <row r="17" spans="2:13" ht="30" customHeight="1" x14ac:dyDescent="0.25">
      <c r="B17" s="56" t="s">
        <v>50</v>
      </c>
      <c r="C17" s="58">
        <v>0.58499999999999996</v>
      </c>
      <c r="D17" s="57"/>
      <c r="E17" s="25"/>
      <c r="F17" s="269" t="s">
        <v>21</v>
      </c>
      <c r="G17" s="269"/>
      <c r="H17" s="269"/>
      <c r="J17" s="269" t="s">
        <v>51</v>
      </c>
      <c r="K17" s="269"/>
      <c r="L17" s="269"/>
      <c r="M17" s="28"/>
    </row>
    <row r="18" spans="2:13" ht="30" customHeight="1" x14ac:dyDescent="0.25">
      <c r="B18" s="56" t="s">
        <v>52</v>
      </c>
      <c r="C18" s="58">
        <v>0.44900000000000001</v>
      </c>
      <c r="D18" s="57"/>
      <c r="E18" s="25"/>
      <c r="F18" s="270"/>
      <c r="G18" s="270"/>
      <c r="H18" s="270"/>
      <c r="I18" s="28"/>
      <c r="J18" s="270"/>
      <c r="K18" s="270"/>
      <c r="L18" s="270"/>
      <c r="M18" s="29"/>
    </row>
    <row r="19" spans="2:13" ht="30" customHeight="1" x14ac:dyDescent="0.25">
      <c r="B19" s="56" t="s">
        <v>53</v>
      </c>
      <c r="C19" s="58">
        <v>0.96899999999999997</v>
      </c>
      <c r="D19" s="57"/>
      <c r="E19" s="25"/>
      <c r="F19" s="54" t="s">
        <v>26</v>
      </c>
      <c r="G19" s="55" t="s">
        <v>27</v>
      </c>
      <c r="H19" s="55" t="s">
        <v>28</v>
      </c>
      <c r="I19" s="28"/>
      <c r="J19" s="54" t="s">
        <v>54</v>
      </c>
      <c r="K19" s="55" t="s">
        <v>55</v>
      </c>
      <c r="L19" s="55" t="s">
        <v>31</v>
      </c>
      <c r="M19" s="30"/>
    </row>
    <row r="20" spans="2:13" ht="30" customHeight="1" x14ac:dyDescent="0.25">
      <c r="B20" s="56" t="s">
        <v>56</v>
      </c>
      <c r="C20" s="56"/>
      <c r="D20" s="57"/>
      <c r="E20" s="25"/>
      <c r="F20" s="56" t="s">
        <v>57</v>
      </c>
      <c r="G20" s="60"/>
      <c r="H20" s="61"/>
      <c r="I20" s="29"/>
      <c r="J20" s="56" t="s">
        <v>34</v>
      </c>
      <c r="K20" s="60"/>
      <c r="L20" s="61"/>
      <c r="M20" s="29"/>
    </row>
    <row r="21" spans="2:13" ht="30" customHeight="1" x14ac:dyDescent="0.25">
      <c r="B21" s="56" t="s">
        <v>56</v>
      </c>
      <c r="C21" s="58"/>
      <c r="D21" s="57"/>
      <c r="E21" s="25"/>
      <c r="F21" s="56" t="s">
        <v>58</v>
      </c>
      <c r="G21" s="60"/>
      <c r="H21" s="61"/>
      <c r="I21" s="30"/>
      <c r="J21" s="58" t="s">
        <v>59</v>
      </c>
      <c r="K21" s="60"/>
      <c r="L21" s="61"/>
      <c r="M21" s="31"/>
    </row>
    <row r="22" spans="2:13" ht="30" customHeight="1" x14ac:dyDescent="0.25">
      <c r="B22" s="56" t="s">
        <v>56</v>
      </c>
      <c r="C22" s="58"/>
      <c r="D22" s="57"/>
      <c r="E22" s="25"/>
      <c r="F22" s="56" t="s">
        <v>60</v>
      </c>
      <c r="G22" s="60"/>
      <c r="H22" s="61"/>
      <c r="I22" s="29"/>
      <c r="J22" s="56" t="s">
        <v>61</v>
      </c>
      <c r="K22" s="60"/>
      <c r="L22" s="61"/>
      <c r="M22" s="31"/>
    </row>
    <row r="23" spans="2:13" ht="30" customHeight="1" x14ac:dyDescent="0.25">
      <c r="B23" s="32"/>
      <c r="C23" s="26"/>
      <c r="D23" s="25"/>
      <c r="E23" s="25"/>
      <c r="F23" s="31"/>
      <c r="G23" s="31"/>
      <c r="H23" s="31"/>
      <c r="I23" s="31"/>
      <c r="J23" s="62"/>
      <c r="K23" s="62"/>
      <c r="L23" s="62"/>
      <c r="M23" s="31"/>
    </row>
    <row r="24" spans="2:13" ht="30" customHeight="1" x14ac:dyDescent="0.25">
      <c r="B24" s="32"/>
      <c r="C24" s="33"/>
      <c r="D24" s="32"/>
      <c r="E24" s="32"/>
      <c r="F24" s="34"/>
      <c r="G24" s="34"/>
      <c r="H24" s="34"/>
      <c r="I24" s="34"/>
      <c r="J24" s="34"/>
      <c r="K24" s="34"/>
      <c r="L24" s="34"/>
      <c r="M24" s="34"/>
    </row>
    <row r="25" spans="2:13" ht="30" customHeight="1" x14ac:dyDescent="0.25">
      <c r="B25" s="32"/>
      <c r="C25" s="26"/>
      <c r="D25" s="25"/>
      <c r="E25" s="25"/>
      <c r="F25" s="31"/>
      <c r="G25" s="31"/>
      <c r="H25" s="31"/>
      <c r="I25" s="31"/>
      <c r="J25" s="31"/>
      <c r="K25" s="31"/>
      <c r="L25" s="31"/>
      <c r="M25" s="31"/>
    </row>
    <row r="26" spans="2:13" ht="30" customHeight="1" x14ac:dyDescent="0.25">
      <c r="B26" s="32"/>
      <c r="C26" s="26"/>
      <c r="D26" s="25"/>
      <c r="E26" s="25"/>
      <c r="F26" s="31"/>
      <c r="G26" s="31"/>
      <c r="H26" s="31"/>
      <c r="I26" s="31"/>
      <c r="J26" s="31"/>
      <c r="K26" s="31"/>
      <c r="L26" s="31"/>
      <c r="M26" s="31"/>
    </row>
    <row r="27" spans="2:13" ht="30" customHeight="1" x14ac:dyDescent="0.25">
      <c r="B27" s="32"/>
      <c r="C27" s="25"/>
      <c r="D27" s="25"/>
      <c r="E27" s="25"/>
      <c r="F27" s="31"/>
      <c r="G27" s="31"/>
      <c r="H27" s="29"/>
      <c r="I27" s="31"/>
      <c r="J27" s="29"/>
      <c r="K27" s="35"/>
      <c r="L27" s="35"/>
      <c r="M27" s="35"/>
    </row>
    <row r="28" spans="2:13" ht="30" customHeight="1" x14ac:dyDescent="0.25">
      <c r="B28" s="32"/>
      <c r="C28" s="26"/>
      <c r="D28" s="25"/>
      <c r="E28" s="25"/>
      <c r="F28" s="31"/>
      <c r="G28" s="31"/>
      <c r="H28" s="31"/>
      <c r="I28" s="31"/>
      <c r="J28" s="31"/>
      <c r="K28" s="36"/>
      <c r="L28" s="36"/>
      <c r="M28" s="36"/>
    </row>
    <row r="29" spans="2:13" ht="30" customHeight="1" x14ac:dyDescent="0.25">
      <c r="B29" s="32"/>
      <c r="C29" s="26"/>
      <c r="D29" s="25"/>
      <c r="E29" s="25"/>
      <c r="F29" s="31"/>
      <c r="G29" s="31"/>
      <c r="H29" s="31"/>
      <c r="I29" s="31"/>
      <c r="J29" s="31"/>
      <c r="K29" s="36"/>
      <c r="L29" s="36"/>
      <c r="M29" s="36"/>
    </row>
    <row r="30" spans="2:13" ht="30" customHeight="1" x14ac:dyDescent="0.25"/>
    <row r="31" spans="2:13" ht="30" customHeight="1" x14ac:dyDescent="0.25">
      <c r="B31" s="271"/>
      <c r="C31" s="272"/>
      <c r="D31" s="272"/>
      <c r="E31" s="37"/>
      <c r="F31" s="273"/>
      <c r="G31" s="273"/>
      <c r="H31" s="273"/>
      <c r="I31" s="273"/>
      <c r="J31" s="273"/>
      <c r="K31" s="273"/>
      <c r="L31" s="273"/>
      <c r="M31" s="273"/>
    </row>
    <row r="32" spans="2:13" ht="30" customHeight="1" x14ac:dyDescent="0.25">
      <c r="B32" s="275"/>
      <c r="C32" s="272"/>
      <c r="D32" s="272"/>
      <c r="E32" s="38"/>
      <c r="F32" s="39"/>
      <c r="G32" s="39"/>
      <c r="H32" s="40"/>
      <c r="I32" s="40"/>
      <c r="J32" s="40"/>
      <c r="K32" s="39"/>
      <c r="L32" s="39"/>
      <c r="M32" s="40"/>
    </row>
    <row r="33" spans="2:13" ht="30" customHeight="1" x14ac:dyDescent="0.25">
      <c r="B33" s="276"/>
      <c r="C33" s="276"/>
      <c r="D33" s="276"/>
      <c r="E33" s="25"/>
      <c r="F33" s="41"/>
      <c r="G33" s="41"/>
      <c r="H33" s="41"/>
      <c r="I33" s="28"/>
      <c r="J33" s="41"/>
      <c r="K33" s="41"/>
      <c r="L33" s="41"/>
      <c r="M33" s="41"/>
    </row>
    <row r="34" spans="2:13" ht="30" customHeight="1" x14ac:dyDescent="0.25">
      <c r="B34" s="274"/>
      <c r="C34" s="274"/>
      <c r="D34" s="274"/>
      <c r="E34" s="40"/>
      <c r="F34" s="42"/>
      <c r="G34" s="42"/>
      <c r="H34" s="42"/>
      <c r="I34" s="43"/>
      <c r="J34" s="42"/>
      <c r="K34" s="42"/>
      <c r="L34" s="42"/>
      <c r="M34" s="42"/>
    </row>
    <row r="35" spans="2:13" ht="30" customHeight="1" x14ac:dyDescent="0.25">
      <c r="B35" s="279"/>
      <c r="C35" s="279"/>
      <c r="D35" s="279"/>
      <c r="E35" s="38"/>
      <c r="F35" s="28"/>
      <c r="G35" s="28"/>
      <c r="H35" s="28"/>
      <c r="I35" s="28"/>
      <c r="J35" s="41"/>
      <c r="K35" s="41"/>
      <c r="L35" s="41"/>
      <c r="M35" s="41"/>
    </row>
    <row r="36" spans="2:13" ht="30" customHeight="1" x14ac:dyDescent="0.25">
      <c r="B36" s="280"/>
      <c r="C36" s="280"/>
      <c r="D36" s="280"/>
      <c r="E36" s="38"/>
      <c r="F36" s="41"/>
      <c r="G36" s="41"/>
      <c r="H36" s="41"/>
      <c r="I36" s="28"/>
      <c r="J36" s="41"/>
      <c r="K36" s="41"/>
      <c r="L36" s="41"/>
      <c r="M36" s="41"/>
    </row>
    <row r="37" spans="2:13" ht="30" customHeight="1" x14ac:dyDescent="0.25">
      <c r="B37" s="274"/>
      <c r="C37" s="274"/>
      <c r="D37" s="274"/>
      <c r="E37" s="40"/>
      <c r="F37" s="42"/>
      <c r="G37" s="42"/>
      <c r="H37" s="42"/>
      <c r="I37" s="43"/>
      <c r="J37" s="42"/>
      <c r="K37" s="42"/>
      <c r="L37" s="42"/>
      <c r="M37" s="42"/>
    </row>
    <row r="38" spans="2:13" ht="30" customHeight="1" x14ac:dyDescent="0.25">
      <c r="B38" s="279"/>
      <c r="C38" s="279"/>
      <c r="D38" s="279"/>
      <c r="E38" s="38"/>
      <c r="F38" s="41"/>
      <c r="G38" s="41"/>
      <c r="H38" s="41"/>
      <c r="I38" s="28"/>
      <c r="J38" s="41"/>
      <c r="K38" s="41"/>
      <c r="L38" s="41"/>
      <c r="M38" s="41"/>
    </row>
    <row r="39" spans="2:13" ht="30" customHeight="1" x14ac:dyDescent="0.25">
      <c r="B39" s="279"/>
      <c r="C39" s="279"/>
      <c r="D39" s="279"/>
      <c r="E39" s="38"/>
      <c r="F39" s="41"/>
      <c r="G39" s="41"/>
      <c r="H39" s="41"/>
      <c r="I39" s="28"/>
      <c r="J39" s="41"/>
      <c r="K39" s="41"/>
      <c r="L39" s="41"/>
      <c r="M39" s="41"/>
    </row>
    <row r="40" spans="2:13" ht="30" customHeight="1" x14ac:dyDescent="0.25">
      <c r="B40" s="279"/>
      <c r="C40" s="279"/>
      <c r="D40" s="279"/>
      <c r="E40" s="38"/>
      <c r="F40" s="41"/>
      <c r="G40" s="41"/>
      <c r="H40" s="41"/>
      <c r="I40" s="28"/>
      <c r="J40" s="41"/>
      <c r="K40" s="41"/>
      <c r="L40" s="41"/>
      <c r="M40" s="41"/>
    </row>
    <row r="41" spans="2:13" ht="30" customHeight="1" x14ac:dyDescent="0.25">
      <c r="B41" s="274"/>
      <c r="C41" s="274"/>
      <c r="D41" s="274"/>
      <c r="E41" s="40"/>
      <c r="F41" s="41"/>
      <c r="G41" s="41"/>
      <c r="H41" s="41"/>
      <c r="I41" s="28"/>
      <c r="J41" s="41"/>
      <c r="K41" s="41"/>
      <c r="L41" s="41"/>
      <c r="M41" s="41"/>
    </row>
    <row r="42" spans="2:13" ht="30" customHeight="1" x14ac:dyDescent="0.25">
      <c r="B42" s="281"/>
      <c r="C42" s="281"/>
      <c r="D42" s="281"/>
      <c r="E42" s="44"/>
      <c r="F42" s="44"/>
      <c r="G42" s="44"/>
      <c r="H42" s="44"/>
      <c r="I42" s="29"/>
      <c r="J42" s="44"/>
      <c r="K42" s="44"/>
      <c r="L42" s="44"/>
      <c r="M42" s="44"/>
    </row>
    <row r="43" spans="2:13" ht="30" customHeight="1" x14ac:dyDescent="0.25">
      <c r="B43" s="279"/>
      <c r="C43" s="279"/>
      <c r="D43" s="279"/>
      <c r="E43" s="38"/>
      <c r="F43" s="41"/>
      <c r="G43" s="41"/>
      <c r="H43" s="41"/>
      <c r="I43" s="28"/>
      <c r="J43" s="41"/>
      <c r="K43" s="41"/>
      <c r="L43" s="41"/>
      <c r="M43" s="41"/>
    </row>
    <row r="44" spans="2:13" ht="30" customHeight="1" x14ac:dyDescent="0.25">
      <c r="B44" s="279"/>
      <c r="C44" s="279"/>
      <c r="D44" s="279"/>
      <c r="E44" s="38"/>
      <c r="F44" s="41"/>
      <c r="G44" s="41"/>
      <c r="H44" s="41"/>
      <c r="I44" s="28"/>
      <c r="J44" s="41"/>
      <c r="K44" s="41"/>
      <c r="L44" s="41"/>
      <c r="M44" s="41"/>
    </row>
    <row r="45" spans="2:13" ht="30" customHeight="1" x14ac:dyDescent="0.25">
      <c r="B45" s="274"/>
      <c r="C45" s="274"/>
      <c r="D45" s="274"/>
      <c r="E45" s="40"/>
      <c r="F45" s="42"/>
      <c r="G45" s="42"/>
      <c r="H45" s="42"/>
      <c r="I45" s="43"/>
      <c r="J45" s="42"/>
      <c r="K45" s="42"/>
      <c r="L45" s="42"/>
      <c r="M45" s="42"/>
    </row>
    <row r="46" spans="2:13" ht="30" customHeight="1" x14ac:dyDescent="0.25">
      <c r="B46" s="274"/>
      <c r="C46" s="274"/>
      <c r="D46" s="274"/>
      <c r="E46" s="40"/>
      <c r="F46" s="42"/>
      <c r="G46" s="42"/>
      <c r="H46" s="42"/>
      <c r="I46" s="42"/>
      <c r="J46" s="42"/>
      <c r="K46" s="42"/>
      <c r="L46" s="42"/>
      <c r="M46" s="42"/>
    </row>
    <row r="47" spans="2:13" ht="30" customHeight="1" x14ac:dyDescent="0.25">
      <c r="B47" s="277"/>
      <c r="C47" s="277"/>
      <c r="D47" s="277"/>
      <c r="E47" s="25"/>
      <c r="F47" s="31"/>
      <c r="G47" s="31"/>
      <c r="H47" s="31"/>
      <c r="I47" s="31"/>
      <c r="J47" s="31"/>
      <c r="K47" s="31"/>
      <c r="L47" s="31"/>
      <c r="M47" s="31"/>
    </row>
    <row r="48" spans="2:13" ht="30" customHeight="1" x14ac:dyDescent="0.25">
      <c r="B48" s="278"/>
      <c r="C48" s="278"/>
      <c r="D48" s="278"/>
      <c r="E48" s="38"/>
      <c r="F48" s="45"/>
      <c r="G48" s="45"/>
      <c r="H48" s="45"/>
      <c r="I48" s="45"/>
      <c r="J48" s="46"/>
      <c r="K48" s="46"/>
      <c r="L48" s="46"/>
      <c r="M48" s="46"/>
    </row>
    <row r="49" spans="2:13" ht="30" customHeight="1" x14ac:dyDescent="0.25">
      <c r="B49" s="38"/>
      <c r="E49" s="47"/>
      <c r="F49" s="48"/>
      <c r="G49" s="48"/>
      <c r="H49" s="48"/>
      <c r="I49" s="48"/>
      <c r="J49" s="48"/>
      <c r="K49" s="48"/>
      <c r="L49" s="48"/>
      <c r="M49" s="48"/>
    </row>
    <row r="50" spans="2:13" ht="30" customHeight="1" x14ac:dyDescent="0.25">
      <c r="B50" s="279"/>
      <c r="C50" s="279"/>
      <c r="D50" s="279"/>
      <c r="E50" s="25"/>
      <c r="F50" s="49"/>
      <c r="G50" s="49"/>
      <c r="H50" s="49"/>
      <c r="I50" s="49"/>
      <c r="J50" s="31"/>
      <c r="K50" s="31"/>
      <c r="L50" s="31"/>
      <c r="M50" s="31"/>
    </row>
    <row r="51" spans="2:13" ht="30" customHeight="1" x14ac:dyDescent="0.25">
      <c r="B51" s="280"/>
      <c r="C51" s="280"/>
      <c r="D51" s="280"/>
      <c r="E51" s="25"/>
      <c r="F51" s="49"/>
      <c r="G51" s="49"/>
      <c r="H51" s="49"/>
      <c r="I51" s="49"/>
      <c r="J51" s="31"/>
      <c r="K51" s="31"/>
      <c r="L51" s="31"/>
      <c r="M51" s="31"/>
    </row>
    <row r="52" spans="2:13" ht="30" customHeight="1" x14ac:dyDescent="0.25">
      <c r="B52" s="274"/>
      <c r="C52" s="274"/>
      <c r="D52" s="274"/>
      <c r="E52" s="50"/>
      <c r="F52" s="51"/>
      <c r="G52" s="52"/>
      <c r="H52" s="51"/>
      <c r="I52" s="51"/>
      <c r="J52" s="52"/>
      <c r="K52" s="51"/>
      <c r="L52" s="51"/>
      <c r="M52" s="51"/>
    </row>
    <row r="53" spans="2:13" ht="15" hidden="1" x14ac:dyDescent="0.25"/>
    <row r="54" spans="2:13" ht="15" hidden="1" x14ac:dyDescent="0.25"/>
    <row r="55" spans="2:13" ht="15" hidden="1" x14ac:dyDescent="0.25"/>
    <row r="56" spans="2:13" ht="15" hidden="1" x14ac:dyDescent="0.25"/>
    <row r="57" spans="2:13" ht="15" hidden="1" x14ac:dyDescent="0.25"/>
  </sheetData>
  <mergeCells count="36">
    <mergeCell ref="B3:M3"/>
    <mergeCell ref="B4:M4"/>
    <mergeCell ref="J7:L8"/>
    <mergeCell ref="F7:H8"/>
    <mergeCell ref="B7:D8"/>
    <mergeCell ref="B6:D6"/>
    <mergeCell ref="F6:H6"/>
    <mergeCell ref="J6:L6"/>
    <mergeCell ref="B42:D42"/>
    <mergeCell ref="B43:D43"/>
    <mergeCell ref="B44:D44"/>
    <mergeCell ref="B34:D34"/>
    <mergeCell ref="B35:D35"/>
    <mergeCell ref="B36:D36"/>
    <mergeCell ref="B40:D40"/>
    <mergeCell ref="B37:D37"/>
    <mergeCell ref="B38:D38"/>
    <mergeCell ref="B39:D39"/>
    <mergeCell ref="B52:D52"/>
    <mergeCell ref="B45:D45"/>
    <mergeCell ref="B46:D46"/>
    <mergeCell ref="B47:D47"/>
    <mergeCell ref="B48:D48"/>
    <mergeCell ref="B50:D50"/>
    <mergeCell ref="B51:D51"/>
    <mergeCell ref="B31:D31"/>
    <mergeCell ref="F31:J31"/>
    <mergeCell ref="K31:M31"/>
    <mergeCell ref="B41:D41"/>
    <mergeCell ref="B32:D32"/>
    <mergeCell ref="B33:D33"/>
    <mergeCell ref="J15:L15"/>
    <mergeCell ref="J16:L16"/>
    <mergeCell ref="J17:L18"/>
    <mergeCell ref="F17:H18"/>
    <mergeCell ref="F16:H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25"/>
  <cols>
    <col min="1" max="1" width="8.7109375" customWidth="1"/>
    <col min="2" max="9" width="25.7109375" customWidth="1"/>
    <col min="10" max="10" width="8.7109375" customWidth="1"/>
    <col min="11" max="16" width="0" hidden="1" customWidth="1"/>
    <col min="17" max="16384" width="8.7109375" hidden="1"/>
  </cols>
  <sheetData>
    <row r="1" spans="1:9" ht="15" hidden="1" x14ac:dyDescent="0.25"/>
    <row r="2" spans="1:9" ht="33" customHeight="1" x14ac:dyDescent="0.25">
      <c r="C2" s="24"/>
    </row>
    <row r="3" spans="1:9" ht="33" customHeight="1" x14ac:dyDescent="0.25">
      <c r="B3" s="282" t="s">
        <v>15</v>
      </c>
      <c r="C3" s="283"/>
      <c r="D3" s="283"/>
      <c r="E3" s="283"/>
      <c r="F3" s="283"/>
      <c r="G3" s="283"/>
      <c r="H3" s="283"/>
      <c r="I3" s="283"/>
    </row>
    <row r="4" spans="1:9" ht="33" customHeight="1" x14ac:dyDescent="0.25">
      <c r="B4" s="284" t="s">
        <v>16</v>
      </c>
      <c r="C4" s="284"/>
      <c r="D4" s="284"/>
      <c r="E4" s="284"/>
      <c r="F4" s="284"/>
      <c r="G4" s="284"/>
      <c r="H4" s="284"/>
      <c r="I4" s="284"/>
    </row>
    <row r="5" spans="1:9" ht="33" customHeight="1" x14ac:dyDescent="0.25">
      <c r="B5" s="66"/>
      <c r="C5" s="66"/>
      <c r="D5" s="66"/>
      <c r="E5" s="66"/>
      <c r="F5" s="66"/>
      <c r="G5" s="66"/>
      <c r="H5" s="66"/>
      <c r="I5" s="66"/>
    </row>
    <row r="6" spans="1:9" ht="33" customHeight="1" x14ac:dyDescent="0.25">
      <c r="B6" s="268" t="s">
        <v>62</v>
      </c>
      <c r="C6" s="268"/>
      <c r="D6" s="268"/>
      <c r="E6" s="268"/>
      <c r="F6" s="268"/>
      <c r="G6" s="268"/>
      <c r="H6" s="268"/>
      <c r="I6" s="268"/>
    </row>
    <row r="7" spans="1:9" ht="33" customHeight="1" x14ac:dyDescent="0.25">
      <c r="A7" s="23"/>
      <c r="B7" s="285" t="s">
        <v>22</v>
      </c>
      <c r="C7" s="283"/>
      <c r="D7" s="283"/>
      <c r="E7" s="283"/>
      <c r="F7" s="283"/>
      <c r="G7" s="283"/>
      <c r="H7" s="283"/>
      <c r="I7" s="283"/>
    </row>
    <row r="8" spans="1:9" ht="30" customHeight="1" x14ac:dyDescent="0.25">
      <c r="B8" s="65"/>
      <c r="C8" s="65"/>
      <c r="D8" s="65"/>
      <c r="E8" s="53"/>
      <c r="F8" s="64"/>
      <c r="G8" s="64"/>
      <c r="H8" s="64"/>
      <c r="I8" s="53"/>
    </row>
    <row r="9" spans="1:9" ht="30" customHeight="1" x14ac:dyDescent="0.25">
      <c r="B9" s="54" t="s">
        <v>29</v>
      </c>
      <c r="C9" s="55" t="s">
        <v>30</v>
      </c>
      <c r="D9" s="55" t="s">
        <v>31</v>
      </c>
      <c r="F9" s="64"/>
      <c r="G9" s="54" t="s">
        <v>54</v>
      </c>
      <c r="H9" s="55" t="s">
        <v>55</v>
      </c>
      <c r="I9" s="55" t="s">
        <v>31</v>
      </c>
    </row>
    <row r="10" spans="1:9" ht="30" customHeight="1" x14ac:dyDescent="0.25">
      <c r="B10" s="56" t="s">
        <v>34</v>
      </c>
      <c r="C10" s="60"/>
      <c r="D10" s="61"/>
      <c r="E10" s="25"/>
      <c r="F10" s="53"/>
      <c r="G10" s="56" t="s">
        <v>34</v>
      </c>
      <c r="H10" s="60"/>
      <c r="I10" s="61"/>
    </row>
    <row r="11" spans="1:9" ht="30" customHeight="1" x14ac:dyDescent="0.25">
      <c r="B11" s="58" t="s">
        <v>37</v>
      </c>
      <c r="C11" s="60"/>
      <c r="D11" s="61"/>
      <c r="E11" s="286" t="s">
        <v>51</v>
      </c>
      <c r="F11" s="287"/>
      <c r="G11" s="58" t="s">
        <v>59</v>
      </c>
      <c r="H11" s="60"/>
      <c r="I11" s="61"/>
    </row>
    <row r="12" spans="1:9" ht="30" customHeight="1" x14ac:dyDescent="0.25">
      <c r="B12" s="56" t="s">
        <v>40</v>
      </c>
      <c r="C12" s="60"/>
      <c r="D12" s="61"/>
      <c r="E12" s="286"/>
      <c r="F12" s="287"/>
      <c r="G12" s="56" t="s">
        <v>61</v>
      </c>
      <c r="H12" s="60"/>
      <c r="I12" s="61"/>
    </row>
    <row r="13" spans="1:9" ht="30" customHeight="1" x14ac:dyDescent="0.25">
      <c r="B13" s="56" t="s">
        <v>43</v>
      </c>
      <c r="C13" s="60"/>
      <c r="D13" s="61"/>
      <c r="E13" s="25"/>
      <c r="F13" s="63"/>
      <c r="G13" s="56" t="s">
        <v>40</v>
      </c>
      <c r="H13" s="60"/>
      <c r="I13" s="61"/>
    </row>
    <row r="14" spans="1:9" ht="30" customHeight="1" x14ac:dyDescent="0.25">
      <c r="B14" s="67"/>
      <c r="C14" s="60"/>
      <c r="D14" s="61"/>
      <c r="E14" s="25"/>
      <c r="F14" s="63"/>
      <c r="G14" s="56" t="s">
        <v>43</v>
      </c>
      <c r="H14" s="60"/>
      <c r="I14" s="61"/>
    </row>
    <row r="15" spans="1:9" ht="30" customHeight="1" x14ac:dyDescent="0.25">
      <c r="B15" s="267"/>
      <c r="C15" s="267"/>
      <c r="D15" s="267"/>
      <c r="E15" s="25"/>
      <c r="F15" s="63"/>
      <c r="G15" s="28"/>
      <c r="H15" s="28"/>
      <c r="I15" s="28"/>
    </row>
    <row r="16" spans="1:9" ht="30" customHeight="1" x14ac:dyDescent="0.25">
      <c r="B16" s="288"/>
      <c r="C16" s="288"/>
      <c r="D16" s="288"/>
      <c r="E16" s="288"/>
      <c r="F16" s="288"/>
      <c r="G16" s="288"/>
      <c r="H16" s="288"/>
      <c r="I16" s="288"/>
    </row>
    <row r="17" spans="2:9" ht="30" customHeight="1" x14ac:dyDescent="0.25">
      <c r="B17" s="285"/>
      <c r="C17" s="285"/>
      <c r="D17" s="285"/>
      <c r="E17" s="285"/>
      <c r="F17" s="285"/>
      <c r="G17" s="285"/>
      <c r="H17" s="285"/>
      <c r="I17" s="285"/>
    </row>
    <row r="18" spans="2:9" ht="30" customHeight="1" x14ac:dyDescent="0.25">
      <c r="B18" s="64"/>
      <c r="C18" s="64"/>
      <c r="D18" s="64"/>
      <c r="E18" s="25"/>
      <c r="F18" s="64"/>
      <c r="G18" s="64"/>
      <c r="H18" s="64"/>
    </row>
    <row r="19" spans="2:9" ht="30" customHeight="1" x14ac:dyDescent="0.25">
      <c r="E19" s="25"/>
      <c r="F19" s="64"/>
      <c r="G19" s="64"/>
      <c r="H19" s="64"/>
      <c r="I19" s="28"/>
    </row>
    <row r="20" spans="2:9" ht="30" customHeight="1" x14ac:dyDescent="0.25">
      <c r="E20" s="25"/>
      <c r="F20" s="53"/>
      <c r="G20" s="68"/>
      <c r="H20" s="68"/>
      <c r="I20" s="28"/>
    </row>
    <row r="21" spans="2:9" ht="30" customHeight="1" x14ac:dyDescent="0.25">
      <c r="E21" s="25"/>
      <c r="F21" s="63"/>
      <c r="G21" s="28"/>
      <c r="H21" s="28"/>
      <c r="I21" s="29"/>
    </row>
    <row r="22" spans="2:9" ht="30" customHeight="1" x14ac:dyDescent="0.25">
      <c r="E22" s="25"/>
      <c r="F22" s="63"/>
      <c r="G22" s="28"/>
      <c r="H22" s="28"/>
      <c r="I22" s="30"/>
    </row>
    <row r="23" spans="2:9" ht="30" customHeight="1" x14ac:dyDescent="0.25">
      <c r="B23" s="63"/>
      <c r="C23" s="64"/>
      <c r="D23" s="25"/>
      <c r="E23" s="25"/>
      <c r="F23" s="63"/>
      <c r="G23" s="28"/>
      <c r="H23" s="28"/>
      <c r="I23" s="29"/>
    </row>
    <row r="24" spans="2:9" ht="30" customHeight="1" x14ac:dyDescent="0.25">
      <c r="B24" s="32"/>
      <c r="C24" s="26"/>
      <c r="D24" s="25"/>
      <c r="E24" s="25"/>
      <c r="F24" s="31"/>
      <c r="G24" s="31"/>
      <c r="H24" s="31"/>
      <c r="I24" s="31"/>
    </row>
    <row r="25" spans="2:9" ht="30" customHeight="1" x14ac:dyDescent="0.25">
      <c r="B25" s="32"/>
      <c r="C25" s="33"/>
      <c r="D25" s="32"/>
      <c r="E25" s="32"/>
      <c r="F25" s="34"/>
      <c r="G25" s="34"/>
      <c r="H25" s="34"/>
      <c r="I25" s="34"/>
    </row>
    <row r="26" spans="2:9" ht="30" customHeight="1" x14ac:dyDescent="0.25">
      <c r="B26" s="32"/>
      <c r="C26" s="26"/>
      <c r="D26" s="25"/>
      <c r="E26" s="25"/>
      <c r="F26" s="31"/>
      <c r="G26" s="31"/>
      <c r="H26" s="31"/>
      <c r="I26" s="31"/>
    </row>
    <row r="27" spans="2:9" ht="30" customHeight="1" x14ac:dyDescent="0.25">
      <c r="B27" s="32"/>
      <c r="C27" s="26"/>
      <c r="D27" s="25"/>
      <c r="E27" s="25"/>
      <c r="F27" s="31"/>
      <c r="G27" s="31"/>
      <c r="H27" s="31"/>
      <c r="I27" s="31"/>
    </row>
    <row r="28" spans="2:9" ht="30" customHeight="1" x14ac:dyDescent="0.25">
      <c r="B28" s="32"/>
      <c r="C28" s="25"/>
      <c r="D28" s="25"/>
      <c r="E28" s="25"/>
      <c r="F28" s="31"/>
      <c r="G28" s="31"/>
      <c r="H28" s="29"/>
      <c r="I28" s="31"/>
    </row>
    <row r="29" spans="2:9" ht="30" customHeight="1" x14ac:dyDescent="0.25">
      <c r="B29" s="32"/>
      <c r="C29" s="26"/>
      <c r="D29" s="25"/>
      <c r="E29" s="25"/>
      <c r="F29" s="31"/>
      <c r="G29" s="31"/>
      <c r="H29" s="31"/>
      <c r="I29" s="31"/>
    </row>
    <row r="30" spans="2:9" ht="30" customHeight="1" x14ac:dyDescent="0.25">
      <c r="B30" s="32"/>
      <c r="C30" s="26"/>
      <c r="D30" s="25"/>
      <c r="E30" s="25"/>
      <c r="F30" s="31"/>
      <c r="G30" s="31"/>
      <c r="H30" s="31"/>
      <c r="I30" s="31"/>
    </row>
    <row r="31" spans="2:9" ht="30" customHeight="1" x14ac:dyDescent="0.25"/>
    <row r="32" spans="2:9" ht="30" customHeight="1" x14ac:dyDescent="0.25">
      <c r="B32" s="271"/>
      <c r="C32" s="272"/>
      <c r="D32" s="272"/>
      <c r="E32" s="37"/>
      <c r="F32" s="273"/>
      <c r="G32" s="273"/>
      <c r="H32" s="273"/>
      <c r="I32" s="273"/>
    </row>
    <row r="33" spans="2:9" ht="30" customHeight="1" x14ac:dyDescent="0.25">
      <c r="B33" s="275"/>
      <c r="C33" s="272"/>
      <c r="D33" s="272"/>
      <c r="E33" s="38"/>
      <c r="F33" s="39"/>
      <c r="G33" s="39"/>
      <c r="H33" s="40"/>
      <c r="I33" s="40"/>
    </row>
    <row r="34" spans="2:9" ht="30" customHeight="1" x14ac:dyDescent="0.25">
      <c r="B34" s="276"/>
      <c r="C34" s="276"/>
      <c r="D34" s="276"/>
      <c r="E34" s="25"/>
      <c r="F34" s="41"/>
      <c r="G34" s="41"/>
      <c r="H34" s="41"/>
      <c r="I34" s="28"/>
    </row>
    <row r="35" spans="2:9" ht="30" customHeight="1" x14ac:dyDescent="0.25">
      <c r="B35" s="274"/>
      <c r="C35" s="274"/>
      <c r="D35" s="274"/>
      <c r="E35" s="40"/>
      <c r="F35" s="42"/>
      <c r="G35" s="42"/>
      <c r="H35" s="42"/>
      <c r="I35" s="43"/>
    </row>
    <row r="36" spans="2:9" ht="30" customHeight="1" x14ac:dyDescent="0.25">
      <c r="B36" s="279"/>
      <c r="C36" s="279"/>
      <c r="D36" s="279"/>
      <c r="E36" s="38"/>
      <c r="F36" s="28"/>
      <c r="G36" s="28"/>
      <c r="H36" s="28"/>
      <c r="I36" s="28"/>
    </row>
    <row r="37" spans="2:9" ht="30" customHeight="1" x14ac:dyDescent="0.25">
      <c r="B37" s="280"/>
      <c r="C37" s="280"/>
      <c r="D37" s="280"/>
      <c r="E37" s="38"/>
      <c r="F37" s="41"/>
      <c r="G37" s="41"/>
      <c r="H37" s="41"/>
      <c r="I37" s="28"/>
    </row>
    <row r="38" spans="2:9" ht="30" customHeight="1" x14ac:dyDescent="0.25">
      <c r="B38" s="274"/>
      <c r="C38" s="274"/>
      <c r="D38" s="274"/>
      <c r="E38" s="40"/>
      <c r="F38" s="42"/>
      <c r="G38" s="42"/>
      <c r="H38" s="42"/>
      <c r="I38" s="43"/>
    </row>
    <row r="39" spans="2:9" ht="30" customHeight="1" x14ac:dyDescent="0.25">
      <c r="B39" s="279"/>
      <c r="C39" s="279"/>
      <c r="D39" s="279"/>
      <c r="E39" s="38"/>
      <c r="F39" s="41"/>
      <c r="G39" s="41"/>
      <c r="H39" s="41"/>
      <c r="I39" s="28"/>
    </row>
    <row r="40" spans="2:9" ht="30" customHeight="1" x14ac:dyDescent="0.25">
      <c r="B40" s="279"/>
      <c r="C40" s="279"/>
      <c r="D40" s="279"/>
      <c r="E40" s="38"/>
      <c r="F40" s="41"/>
      <c r="G40" s="41"/>
      <c r="H40" s="41"/>
      <c r="I40" s="28"/>
    </row>
    <row r="41" spans="2:9" ht="30" customHeight="1" x14ac:dyDescent="0.25">
      <c r="B41" s="279"/>
      <c r="C41" s="279"/>
      <c r="D41" s="279"/>
      <c r="E41" s="38"/>
      <c r="F41" s="41"/>
      <c r="G41" s="41"/>
      <c r="H41" s="41"/>
      <c r="I41" s="28"/>
    </row>
    <row r="42" spans="2:9" ht="30" customHeight="1" x14ac:dyDescent="0.25">
      <c r="B42" s="274"/>
      <c r="C42" s="274"/>
      <c r="D42" s="274"/>
      <c r="E42" s="40"/>
      <c r="F42" s="41"/>
      <c r="G42" s="41"/>
      <c r="H42" s="41"/>
      <c r="I42" s="28"/>
    </row>
    <row r="43" spans="2:9" ht="30" customHeight="1" x14ac:dyDescent="0.25">
      <c r="B43" s="281"/>
      <c r="C43" s="281"/>
      <c r="D43" s="281"/>
      <c r="E43" s="44"/>
      <c r="F43" s="44"/>
      <c r="G43" s="44"/>
      <c r="H43" s="44"/>
      <c r="I43" s="29"/>
    </row>
    <row r="44" spans="2:9" ht="30" customHeight="1" x14ac:dyDescent="0.25">
      <c r="B44" s="279"/>
      <c r="C44" s="279"/>
      <c r="D44" s="279"/>
      <c r="E44" s="38"/>
      <c r="F44" s="41"/>
      <c r="G44" s="41"/>
      <c r="H44" s="41"/>
      <c r="I44" s="28"/>
    </row>
    <row r="45" spans="2:9" ht="30" customHeight="1" x14ac:dyDescent="0.25">
      <c r="B45" s="279"/>
      <c r="C45" s="279"/>
      <c r="D45" s="279"/>
      <c r="E45" s="38"/>
      <c r="F45" s="41"/>
      <c r="G45" s="41"/>
      <c r="H45" s="41"/>
      <c r="I45" s="28"/>
    </row>
    <row r="46" spans="2:9" ht="30" customHeight="1" x14ac:dyDescent="0.25">
      <c r="B46" s="274"/>
      <c r="C46" s="274"/>
      <c r="D46" s="274"/>
      <c r="E46" s="40"/>
      <c r="F46" s="42"/>
      <c r="G46" s="42"/>
      <c r="H46" s="42"/>
      <c r="I46" s="43"/>
    </row>
    <row r="47" spans="2:9" ht="30" customHeight="1" x14ac:dyDescent="0.25">
      <c r="B47" s="274"/>
      <c r="C47" s="274"/>
      <c r="D47" s="274"/>
      <c r="E47" s="40"/>
      <c r="F47" s="42"/>
      <c r="G47" s="42"/>
      <c r="H47" s="42"/>
      <c r="I47" s="42"/>
    </row>
    <row r="48" spans="2:9" ht="30" customHeight="1" x14ac:dyDescent="0.25">
      <c r="B48" s="277"/>
      <c r="C48" s="277"/>
      <c r="D48" s="277"/>
      <c r="E48" s="25"/>
      <c r="F48" s="31"/>
      <c r="G48" s="31"/>
      <c r="H48" s="31"/>
      <c r="I48" s="31"/>
    </row>
    <row r="49" spans="2:9" ht="30" customHeight="1" x14ac:dyDescent="0.25">
      <c r="B49" s="278"/>
      <c r="C49" s="278"/>
      <c r="D49" s="278"/>
      <c r="E49" s="38"/>
      <c r="F49" s="45"/>
      <c r="G49" s="45"/>
      <c r="H49" s="45"/>
      <c r="I49" s="45"/>
    </row>
    <row r="50" spans="2:9" ht="30" customHeight="1" x14ac:dyDescent="0.25">
      <c r="B50" s="38"/>
      <c r="E50" s="47"/>
      <c r="F50" s="48"/>
      <c r="G50" s="48"/>
      <c r="H50" s="48"/>
      <c r="I50" s="48"/>
    </row>
    <row r="51" spans="2:9" ht="30" customHeight="1" x14ac:dyDescent="0.25">
      <c r="B51" s="279"/>
      <c r="C51" s="279"/>
      <c r="D51" s="279"/>
      <c r="E51" s="25"/>
      <c r="F51" s="49"/>
      <c r="G51" s="49"/>
      <c r="H51" s="49"/>
      <c r="I51" s="49"/>
    </row>
    <row r="52" spans="2:9" ht="30" customHeight="1" x14ac:dyDescent="0.25">
      <c r="B52" s="280"/>
      <c r="C52" s="280"/>
      <c r="D52" s="280"/>
      <c r="E52" s="25"/>
      <c r="F52" s="49"/>
      <c r="G52" s="49"/>
      <c r="H52" s="49"/>
      <c r="I52" s="49"/>
    </row>
    <row r="53" spans="2:9" ht="30" customHeight="1" x14ac:dyDescent="0.25">
      <c r="B53" s="274"/>
      <c r="C53" s="274"/>
      <c r="D53" s="274"/>
      <c r="E53" s="50"/>
      <c r="F53" s="51"/>
      <c r="G53" s="52"/>
      <c r="H53" s="51"/>
      <c r="I53" s="51"/>
    </row>
    <row r="54" spans="2:9" ht="15" hidden="1" x14ac:dyDescent="0.25"/>
    <row r="55" spans="2:9" ht="15" hidden="1" x14ac:dyDescent="0.25"/>
    <row r="56" spans="2:9" ht="15" hidden="1" x14ac:dyDescent="0.25"/>
    <row r="57" spans="2:9" ht="15" hidden="1" x14ac:dyDescent="0.25"/>
    <row r="58" spans="2:9" ht="15" hidden="1" x14ac:dyDescent="0.25"/>
  </sheetData>
  <mergeCells count="30">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 ref="B42:D42"/>
    <mergeCell ref="B43:D43"/>
    <mergeCell ref="B44:D44"/>
    <mergeCell ref="B33:D33"/>
    <mergeCell ref="B34:D34"/>
    <mergeCell ref="B35:D35"/>
    <mergeCell ref="B36:D36"/>
    <mergeCell ref="B37:D37"/>
    <mergeCell ref="B38:D38"/>
    <mergeCell ref="B15:D15"/>
    <mergeCell ref="B32:D32"/>
    <mergeCell ref="F32:I32"/>
    <mergeCell ref="B3:I3"/>
    <mergeCell ref="B4:I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XFC123"/>
  <sheetViews>
    <sheetView showGridLines="0" tabSelected="1" topLeftCell="A48" zoomScale="90" zoomScaleNormal="90" workbookViewId="0">
      <selection activeCell="E63" sqref="E63"/>
    </sheetView>
  </sheetViews>
  <sheetFormatPr defaultColWidth="0" defaultRowHeight="0" customHeight="1" zeroHeight="1" x14ac:dyDescent="0.25"/>
  <cols>
    <col min="1" max="1" width="8.7109375" customWidth="1"/>
    <col min="2" max="9" width="25.7109375" customWidth="1"/>
    <col min="10" max="10" width="8.7109375" customWidth="1"/>
    <col min="11" max="11" width="8.7109375" hidden="1"/>
    <col min="12" max="12" width="30.7109375" hidden="1"/>
    <col min="13" max="16383" width="8.7109375" hidden="1"/>
    <col min="16384" max="16384" width="6.28515625" hidden="1"/>
  </cols>
  <sheetData>
    <row r="1" spans="1:9" ht="15" hidden="1" x14ac:dyDescent="0.25"/>
    <row r="2" spans="1:9" ht="33" customHeight="1" x14ac:dyDescent="0.25">
      <c r="A2" s="23">
        <v>1000</v>
      </c>
      <c r="B2" s="24"/>
      <c r="C2" s="24"/>
    </row>
    <row r="3" spans="1:9" ht="33" customHeight="1" x14ac:dyDescent="0.25">
      <c r="B3" s="282" t="s">
        <v>63</v>
      </c>
      <c r="C3" s="282"/>
      <c r="D3" s="282"/>
      <c r="E3" s="282"/>
      <c r="F3" s="282"/>
      <c r="G3" s="282"/>
      <c r="H3" s="282"/>
      <c r="I3" s="282"/>
    </row>
    <row r="4" spans="1:9" ht="35.1" customHeight="1" x14ac:dyDescent="0.25">
      <c r="B4" s="291" t="s">
        <v>64</v>
      </c>
      <c r="C4" s="291"/>
      <c r="D4" s="284"/>
      <c r="E4" s="284"/>
      <c r="F4" s="284"/>
      <c r="G4" s="284"/>
      <c r="H4" s="284"/>
      <c r="I4" s="284"/>
    </row>
    <row r="5" spans="1:9" ht="35.1" customHeight="1" x14ac:dyDescent="0.25">
      <c r="B5" s="78"/>
      <c r="C5" s="78"/>
      <c r="D5" s="66"/>
      <c r="E5" s="66"/>
      <c r="F5" s="66"/>
      <c r="G5" s="66"/>
      <c r="H5" s="66"/>
      <c r="I5" s="66"/>
    </row>
    <row r="6" spans="1:9" ht="33" customHeight="1" x14ac:dyDescent="0.25">
      <c r="B6" s="73"/>
      <c r="C6" s="294" t="s">
        <v>65</v>
      </c>
      <c r="D6" s="294"/>
      <c r="F6" s="294" t="s">
        <v>66</v>
      </c>
      <c r="G6" s="294"/>
      <c r="H6" s="294"/>
      <c r="I6" s="66"/>
    </row>
    <row r="7" spans="1:9" ht="66" customHeight="1" x14ac:dyDescent="0.25">
      <c r="B7" s="66"/>
      <c r="C7" s="129" t="s">
        <v>323</v>
      </c>
      <c r="D7" s="129" t="s">
        <v>322</v>
      </c>
      <c r="F7" s="129" t="s">
        <v>321</v>
      </c>
      <c r="G7" s="129" t="s">
        <v>312</v>
      </c>
      <c r="H7" s="129" t="s">
        <v>320</v>
      </c>
      <c r="I7" s="72"/>
    </row>
    <row r="8" spans="1:9" ht="33" customHeight="1" x14ac:dyDescent="0.25">
      <c r="B8" s="66"/>
      <c r="C8" s="147"/>
      <c r="D8" s="147"/>
      <c r="F8" s="147"/>
      <c r="G8" s="147"/>
      <c r="H8" s="147"/>
      <c r="I8" s="66"/>
    </row>
    <row r="9" spans="1:9" ht="33" customHeight="1" x14ac:dyDescent="0.25">
      <c r="B9" s="66"/>
      <c r="C9" s="66"/>
      <c r="D9" s="66"/>
      <c r="E9" s="66"/>
      <c r="F9" s="66"/>
      <c r="G9" s="66"/>
      <c r="H9" s="66"/>
      <c r="I9" s="66"/>
    </row>
    <row r="10" spans="1:9" ht="30" customHeight="1" x14ac:dyDescent="0.25">
      <c r="B10" s="292" t="s">
        <v>334</v>
      </c>
      <c r="C10" s="292"/>
      <c r="D10" s="292"/>
      <c r="E10" s="292"/>
      <c r="F10" s="292"/>
      <c r="G10" s="292"/>
      <c r="H10" s="292"/>
      <c r="I10" s="292"/>
    </row>
    <row r="11" spans="1:9" ht="60" customHeight="1" x14ac:dyDescent="0.25">
      <c r="B11" s="269" t="s">
        <v>67</v>
      </c>
      <c r="C11" s="269"/>
      <c r="D11" s="269"/>
      <c r="E11" s="269"/>
      <c r="F11" s="269"/>
      <c r="G11" s="269"/>
      <c r="H11" s="269"/>
      <c r="I11" s="269"/>
    </row>
    <row r="12" spans="1:9" ht="20.100000000000001" customHeight="1" x14ac:dyDescent="0.25">
      <c r="B12" s="128"/>
      <c r="C12" s="128"/>
      <c r="D12" s="128"/>
      <c r="E12" s="128"/>
      <c r="F12" s="128"/>
      <c r="G12" s="128"/>
      <c r="H12" s="128"/>
      <c r="I12" s="128"/>
    </row>
    <row r="13" spans="1:9" ht="30" customHeight="1" x14ac:dyDescent="0.25">
      <c r="D13" s="55" t="s">
        <v>68</v>
      </c>
      <c r="E13" s="55" t="s">
        <v>324</v>
      </c>
      <c r="F13" s="55" t="s">
        <v>297</v>
      </c>
      <c r="G13" s="55" t="s">
        <v>298</v>
      </c>
      <c r="H13" s="68"/>
    </row>
    <row r="14" spans="1:9" ht="30" customHeight="1" x14ac:dyDescent="0.25">
      <c r="D14" s="132" t="s">
        <v>69</v>
      </c>
      <c r="E14" s="146"/>
      <c r="F14" s="146"/>
      <c r="G14" s="143">
        <v>468</v>
      </c>
    </row>
    <row r="15" spans="1:9" ht="30" customHeight="1" x14ac:dyDescent="0.25">
      <c r="D15" s="132" t="s">
        <v>33</v>
      </c>
      <c r="E15" s="146"/>
      <c r="F15" s="146"/>
      <c r="G15" s="143">
        <v>2.99</v>
      </c>
    </row>
    <row r="16" spans="1:9" ht="30" customHeight="1" x14ac:dyDescent="0.25">
      <c r="D16" s="132" t="s">
        <v>70</v>
      </c>
      <c r="E16" s="146"/>
      <c r="F16" s="146"/>
      <c r="G16" s="143">
        <v>14.2</v>
      </c>
    </row>
    <row r="17" spans="2:9" ht="30" customHeight="1" x14ac:dyDescent="0.25">
      <c r="D17" s="132" t="s">
        <v>71</v>
      </c>
      <c r="E17" s="146"/>
      <c r="F17" s="146"/>
      <c r="G17" s="232">
        <v>30</v>
      </c>
    </row>
    <row r="18" spans="2:9" ht="30" customHeight="1" x14ac:dyDescent="0.25">
      <c r="D18" s="132" t="s">
        <v>39</v>
      </c>
      <c r="E18" s="146"/>
      <c r="F18" s="146"/>
      <c r="G18" s="232">
        <v>4.04</v>
      </c>
    </row>
    <row r="19" spans="2:9" ht="30" customHeight="1" x14ac:dyDescent="0.25">
      <c r="D19" s="132" t="s">
        <v>72</v>
      </c>
      <c r="E19" s="146"/>
      <c r="F19" s="146"/>
      <c r="G19" s="143">
        <v>0</v>
      </c>
    </row>
    <row r="20" spans="2:9" ht="30" customHeight="1" x14ac:dyDescent="0.25">
      <c r="D20" s="187" t="s">
        <v>73</v>
      </c>
      <c r="E20" s="146"/>
      <c r="F20" s="146"/>
      <c r="G20" s="146"/>
    </row>
    <row r="21" spans="2:9" ht="30" customHeight="1" x14ac:dyDescent="0.25"/>
    <row r="22" spans="2:9" ht="30" customHeight="1" x14ac:dyDescent="0.25">
      <c r="D22" s="55" t="s">
        <v>74</v>
      </c>
      <c r="E22" s="55" t="s">
        <v>307</v>
      </c>
      <c r="F22" s="55" t="s">
        <v>308</v>
      </c>
      <c r="G22" s="55" t="s">
        <v>309</v>
      </c>
    </row>
    <row r="23" spans="2:9" ht="30" customHeight="1" x14ac:dyDescent="0.25">
      <c r="D23" s="132" t="s">
        <v>75</v>
      </c>
      <c r="E23" s="146"/>
      <c r="F23" s="232">
        <v>21</v>
      </c>
      <c r="G23" s="232">
        <v>268</v>
      </c>
    </row>
    <row r="24" spans="2:9" ht="30" customHeight="1" x14ac:dyDescent="0.25">
      <c r="D24" s="132" t="s">
        <v>315</v>
      </c>
      <c r="E24" s="146"/>
      <c r="F24" s="232">
        <v>42</v>
      </c>
      <c r="G24" s="232">
        <v>206</v>
      </c>
    </row>
    <row r="25" spans="2:9" ht="30" customHeight="1" x14ac:dyDescent="0.25">
      <c r="D25" s="132" t="s">
        <v>72</v>
      </c>
      <c r="E25" s="146"/>
      <c r="F25" s="143">
        <v>0</v>
      </c>
      <c r="G25" s="143">
        <v>0</v>
      </c>
    </row>
    <row r="26" spans="2:9" ht="30" customHeight="1" x14ac:dyDescent="0.25">
      <c r="D26" s="132" t="s">
        <v>376</v>
      </c>
      <c r="E26" s="146"/>
      <c r="F26" s="146"/>
      <c r="G26" s="143">
        <v>0</v>
      </c>
      <c r="H26" s="108"/>
    </row>
    <row r="27" spans="2:9" ht="30" customHeight="1" x14ac:dyDescent="0.25">
      <c r="D27" s="132" t="s">
        <v>377</v>
      </c>
      <c r="E27" s="146"/>
      <c r="F27" s="146"/>
      <c r="G27" s="143">
        <v>0</v>
      </c>
      <c r="H27" s="108"/>
    </row>
    <row r="28" spans="2:9" ht="30" customHeight="1" x14ac:dyDescent="0.25">
      <c r="D28" s="188" t="s">
        <v>73</v>
      </c>
      <c r="E28" s="146"/>
      <c r="F28" s="146"/>
      <c r="G28" s="146"/>
      <c r="H28" s="108"/>
    </row>
    <row r="29" spans="2:9" ht="35.1" customHeight="1" x14ac:dyDescent="0.25">
      <c r="D29" s="295" t="s">
        <v>387</v>
      </c>
      <c r="E29" s="295"/>
      <c r="F29" s="295"/>
      <c r="G29" s="295"/>
      <c r="H29" s="108"/>
    </row>
    <row r="30" spans="2:9" ht="35.1" customHeight="1" x14ac:dyDescent="0.25">
      <c r="D30" s="296" t="s">
        <v>409</v>
      </c>
      <c r="E30" s="297"/>
      <c r="F30" s="297"/>
      <c r="G30" s="297"/>
      <c r="H30" s="108"/>
    </row>
    <row r="31" spans="2:9" ht="30" customHeight="1" x14ac:dyDescent="0.25">
      <c r="D31" s="130"/>
      <c r="E31" s="130"/>
      <c r="F31" s="130"/>
      <c r="G31" s="130"/>
      <c r="H31" s="108"/>
    </row>
    <row r="32" spans="2:9" ht="30" customHeight="1" x14ac:dyDescent="0.25">
      <c r="B32" s="298" t="s">
        <v>335</v>
      </c>
      <c r="C32" s="292"/>
      <c r="D32" s="292"/>
      <c r="E32" s="292"/>
      <c r="F32" s="292"/>
      <c r="G32" s="292"/>
      <c r="H32" s="292"/>
      <c r="I32" s="292"/>
    </row>
    <row r="33" spans="2:9" ht="60" customHeight="1" x14ac:dyDescent="0.25">
      <c r="B33" s="269" t="s">
        <v>410</v>
      </c>
      <c r="C33" s="299"/>
      <c r="D33" s="299"/>
      <c r="E33" s="299"/>
      <c r="F33" s="299"/>
      <c r="G33" s="299"/>
      <c r="H33" s="299"/>
      <c r="I33" s="299"/>
    </row>
    <row r="34" spans="2:9" ht="20.100000000000001" customHeight="1" x14ac:dyDescent="0.25">
      <c r="D34" s="28"/>
      <c r="H34" s="74"/>
      <c r="I34" s="28"/>
    </row>
    <row r="35" spans="2:9" ht="30" customHeight="1" x14ac:dyDescent="0.25">
      <c r="D35" s="55" t="s">
        <v>77</v>
      </c>
      <c r="E35" s="55" t="s">
        <v>78</v>
      </c>
      <c r="F35" s="55" t="s">
        <v>79</v>
      </c>
      <c r="G35" s="55" t="s">
        <v>80</v>
      </c>
      <c r="H35" s="68"/>
      <c r="I35" s="68"/>
    </row>
    <row r="36" spans="2:9" ht="30" customHeight="1" x14ac:dyDescent="0.25">
      <c r="D36" s="132" t="s">
        <v>470</v>
      </c>
      <c r="E36" s="146"/>
      <c r="F36" s="234">
        <f>0.1*2.356</f>
        <v>0.2356</v>
      </c>
      <c r="G36" s="233">
        <f>0.9*2.356</f>
        <v>2.1204000000000001</v>
      </c>
      <c r="H36" s="28"/>
      <c r="I36" s="63"/>
    </row>
    <row r="37" spans="2:9" ht="30" customHeight="1" x14ac:dyDescent="0.25">
      <c r="D37" s="132" t="s">
        <v>469</v>
      </c>
      <c r="E37" s="146"/>
      <c r="F37" s="234">
        <f>0.1*2.748</f>
        <v>0.27480000000000004</v>
      </c>
      <c r="G37" s="233">
        <f>0.9*2.748</f>
        <v>2.4732000000000003</v>
      </c>
      <c r="H37" s="28"/>
      <c r="I37" s="63"/>
    </row>
    <row r="38" spans="2:9" ht="30" customHeight="1" x14ac:dyDescent="0.25">
      <c r="D38" s="132" t="s">
        <v>81</v>
      </c>
      <c r="E38" s="146"/>
      <c r="F38" s="234">
        <f>0.1*2.659</f>
        <v>0.26589999999999997</v>
      </c>
      <c r="G38" s="233">
        <f>0.9*2.659</f>
        <v>2.3931</v>
      </c>
      <c r="H38" s="28"/>
      <c r="I38" s="63"/>
    </row>
    <row r="39" spans="2:9" ht="30" customHeight="1" x14ac:dyDescent="0.25">
      <c r="D39" s="132" t="s">
        <v>82</v>
      </c>
      <c r="E39" s="146"/>
      <c r="F39" s="233">
        <v>1.151</v>
      </c>
      <c r="G39" s="232">
        <v>0</v>
      </c>
      <c r="H39" s="28"/>
      <c r="I39" s="63"/>
    </row>
    <row r="40" spans="2:9" ht="30" customHeight="1" x14ac:dyDescent="0.25">
      <c r="D40" s="132" t="s">
        <v>439</v>
      </c>
      <c r="E40" s="146"/>
      <c r="F40" s="233">
        <v>0.43</v>
      </c>
      <c r="G40" s="232">
        <v>0</v>
      </c>
      <c r="H40" s="28"/>
      <c r="I40" s="63"/>
    </row>
    <row r="41" spans="2:9" ht="30" customHeight="1" x14ac:dyDescent="0.25">
      <c r="D41" s="132" t="s">
        <v>438</v>
      </c>
      <c r="E41" s="146"/>
      <c r="F41" s="233">
        <v>1.099</v>
      </c>
      <c r="G41" s="232">
        <v>0</v>
      </c>
      <c r="H41" s="28"/>
      <c r="I41" s="63"/>
    </row>
    <row r="42" spans="2:9" ht="30" customHeight="1" x14ac:dyDescent="0.25">
      <c r="D42" s="132" t="s">
        <v>453</v>
      </c>
      <c r="E42" s="146"/>
      <c r="F42" s="233">
        <v>0.52400000000000002</v>
      </c>
      <c r="G42" s="232">
        <v>0</v>
      </c>
      <c r="H42" s="28"/>
      <c r="I42" s="63"/>
    </row>
    <row r="43" spans="2:9" ht="30" customHeight="1" x14ac:dyDescent="0.25">
      <c r="D43" s="132" t="s">
        <v>452</v>
      </c>
      <c r="E43" s="146"/>
      <c r="F43" s="233">
        <v>0.112</v>
      </c>
      <c r="G43" s="232">
        <v>0</v>
      </c>
      <c r="H43" s="28"/>
      <c r="I43" s="62"/>
    </row>
    <row r="44" spans="2:9" ht="30" customHeight="1" x14ac:dyDescent="0.25">
      <c r="D44" s="187" t="s">
        <v>73</v>
      </c>
      <c r="E44" s="146"/>
      <c r="F44" s="146"/>
      <c r="G44" s="146"/>
      <c r="H44" s="28"/>
      <c r="I44" s="62"/>
    </row>
    <row r="45" spans="2:9" ht="30" customHeight="1" x14ac:dyDescent="0.25">
      <c r="D45" s="187" t="s">
        <v>73</v>
      </c>
      <c r="E45" s="146"/>
      <c r="F45" s="146"/>
      <c r="G45" s="146"/>
      <c r="H45" s="28"/>
      <c r="I45" s="62"/>
    </row>
    <row r="46" spans="2:9" ht="30" customHeight="1" x14ac:dyDescent="0.25">
      <c r="B46" s="86"/>
      <c r="C46" s="86"/>
      <c r="D46" s="241" t="s">
        <v>471</v>
      </c>
      <c r="E46" s="86"/>
      <c r="F46" s="38"/>
      <c r="G46" s="38"/>
      <c r="H46" s="41"/>
      <c r="I46" s="41"/>
    </row>
    <row r="47" spans="2:9" ht="30" customHeight="1" x14ac:dyDescent="0.25">
      <c r="B47" s="292" t="s">
        <v>336</v>
      </c>
      <c r="C47" s="292"/>
      <c r="D47" s="292"/>
      <c r="E47" s="292"/>
      <c r="F47" s="292"/>
      <c r="G47" s="292"/>
      <c r="H47" s="292"/>
      <c r="I47" s="292"/>
    </row>
    <row r="48" spans="2:9" ht="50.1" customHeight="1" x14ac:dyDescent="0.25">
      <c r="B48" s="269" t="s">
        <v>83</v>
      </c>
      <c r="C48" s="299"/>
      <c r="D48" s="299"/>
      <c r="E48" s="299"/>
      <c r="F48" s="299"/>
      <c r="G48" s="299"/>
      <c r="H48" s="299"/>
      <c r="I48" s="299"/>
    </row>
    <row r="49" spans="2:9" ht="20.100000000000001" customHeight="1" x14ac:dyDescent="0.25">
      <c r="B49" s="38"/>
      <c r="C49" s="96" t="s">
        <v>84</v>
      </c>
      <c r="D49" s="38"/>
      <c r="E49" s="38"/>
      <c r="F49" s="38"/>
      <c r="G49" s="38"/>
      <c r="H49" s="38"/>
      <c r="I49" s="38"/>
    </row>
    <row r="50" spans="2:9" ht="30" customHeight="1" x14ac:dyDescent="0.25">
      <c r="B50" s="307" t="s">
        <v>85</v>
      </c>
      <c r="C50" s="308"/>
      <c r="D50" s="55" t="s">
        <v>86</v>
      </c>
      <c r="E50" s="54" t="s">
        <v>87</v>
      </c>
      <c r="F50" s="54" t="s">
        <v>88</v>
      </c>
      <c r="G50" s="55" t="s">
        <v>89</v>
      </c>
      <c r="H50" s="55" t="s">
        <v>90</v>
      </c>
      <c r="I50" s="55" t="s">
        <v>55</v>
      </c>
    </row>
    <row r="51" spans="2:9" ht="30" customHeight="1" x14ac:dyDescent="0.25">
      <c r="B51" s="309" t="s">
        <v>91</v>
      </c>
      <c r="C51" s="310"/>
      <c r="D51" s="189" t="s">
        <v>92</v>
      </c>
      <c r="E51" s="146"/>
      <c r="F51" s="146">
        <v>100</v>
      </c>
      <c r="G51" s="149"/>
      <c r="H51" s="88">
        <v>0</v>
      </c>
      <c r="I51" s="145">
        <f>IF(G51="Fossilfritt", 0.01, 0.07)</f>
        <v>7.0000000000000007E-2</v>
      </c>
    </row>
    <row r="52" spans="2:9" ht="30" customHeight="1" x14ac:dyDescent="0.25">
      <c r="B52" s="311"/>
      <c r="C52" s="312"/>
      <c r="D52" s="189" t="s">
        <v>93</v>
      </c>
      <c r="E52" s="146"/>
      <c r="F52" s="146">
        <v>100</v>
      </c>
      <c r="G52" s="149"/>
      <c r="H52" s="88">
        <v>14.9</v>
      </c>
      <c r="I52" s="145">
        <f t="shared" ref="I52:I64" si="0">IF(G52="Fossilfritt", 0.01, 0.07)</f>
        <v>7.0000000000000007E-2</v>
      </c>
    </row>
    <row r="53" spans="2:9" ht="30" customHeight="1" x14ac:dyDescent="0.25">
      <c r="B53" s="309" t="s">
        <v>94</v>
      </c>
      <c r="C53" s="310"/>
      <c r="D53" s="189" t="s">
        <v>316</v>
      </c>
      <c r="E53" s="146"/>
      <c r="F53" s="146">
        <v>100</v>
      </c>
      <c r="G53" s="149"/>
      <c r="H53" s="88">
        <v>0</v>
      </c>
      <c r="I53" s="145">
        <f t="shared" si="0"/>
        <v>7.0000000000000007E-2</v>
      </c>
    </row>
    <row r="54" spans="2:9" ht="30" customHeight="1" x14ac:dyDescent="0.25">
      <c r="B54" s="311"/>
      <c r="C54" s="312"/>
      <c r="D54" s="189" t="s">
        <v>96</v>
      </c>
      <c r="E54" s="146"/>
      <c r="F54" s="146">
        <v>100</v>
      </c>
      <c r="G54" s="149"/>
      <c r="H54" s="230">
        <v>1600</v>
      </c>
      <c r="I54" s="145">
        <f t="shared" si="0"/>
        <v>7.0000000000000007E-2</v>
      </c>
    </row>
    <row r="55" spans="2:9" ht="30" customHeight="1" x14ac:dyDescent="0.25">
      <c r="B55" s="313" t="s">
        <v>95</v>
      </c>
      <c r="C55" s="314"/>
      <c r="D55" s="189" t="s">
        <v>96</v>
      </c>
      <c r="E55" s="146"/>
      <c r="F55" s="146">
        <v>100</v>
      </c>
      <c r="G55" s="149"/>
      <c r="H55" s="88">
        <v>420</v>
      </c>
      <c r="I55" s="145">
        <f t="shared" si="0"/>
        <v>7.0000000000000007E-2</v>
      </c>
    </row>
    <row r="56" spans="2:9" ht="30" customHeight="1" x14ac:dyDescent="0.25">
      <c r="B56" s="309" t="s">
        <v>169</v>
      </c>
      <c r="C56" s="315"/>
      <c r="D56" s="189" t="s">
        <v>383</v>
      </c>
      <c r="E56" s="146"/>
      <c r="F56" s="146">
        <v>100</v>
      </c>
      <c r="G56" s="149"/>
      <c r="H56" s="88">
        <v>0</v>
      </c>
      <c r="I56" s="145">
        <f t="shared" si="0"/>
        <v>7.0000000000000007E-2</v>
      </c>
    </row>
    <row r="57" spans="2:9" ht="30" customHeight="1" x14ac:dyDescent="0.25">
      <c r="B57" s="316"/>
      <c r="C57" s="317"/>
      <c r="D57" s="189" t="s">
        <v>96</v>
      </c>
      <c r="E57" s="146"/>
      <c r="F57" s="146">
        <v>100</v>
      </c>
      <c r="G57" s="149"/>
      <c r="H57" s="88">
        <v>124</v>
      </c>
      <c r="I57" s="145">
        <f t="shared" si="0"/>
        <v>7.0000000000000007E-2</v>
      </c>
    </row>
    <row r="58" spans="2:9" ht="30" customHeight="1" x14ac:dyDescent="0.25">
      <c r="B58" s="318"/>
      <c r="C58" s="317"/>
      <c r="D58" s="189" t="s">
        <v>97</v>
      </c>
      <c r="E58" s="146"/>
      <c r="F58" s="146">
        <v>100</v>
      </c>
      <c r="G58" s="149"/>
      <c r="H58" s="88">
        <v>360</v>
      </c>
      <c r="I58" s="145">
        <f t="shared" si="0"/>
        <v>7.0000000000000007E-2</v>
      </c>
    </row>
    <row r="59" spans="2:9" ht="30" customHeight="1" x14ac:dyDescent="0.25">
      <c r="B59" s="318"/>
      <c r="C59" s="317"/>
      <c r="D59" s="189" t="s">
        <v>98</v>
      </c>
      <c r="E59" s="146"/>
      <c r="F59" s="146">
        <v>100</v>
      </c>
      <c r="G59" s="149"/>
      <c r="H59" s="88">
        <v>360</v>
      </c>
      <c r="I59" s="145">
        <f t="shared" si="0"/>
        <v>7.0000000000000007E-2</v>
      </c>
    </row>
    <row r="60" spans="2:9" ht="30" customHeight="1" x14ac:dyDescent="0.25">
      <c r="B60" s="319"/>
      <c r="C60" s="320"/>
      <c r="D60" s="189" t="s">
        <v>99</v>
      </c>
      <c r="E60" s="146"/>
      <c r="F60" s="146">
        <v>100</v>
      </c>
      <c r="G60" s="149"/>
      <c r="H60" s="88">
        <v>180</v>
      </c>
      <c r="I60" s="145">
        <f t="shared" si="0"/>
        <v>7.0000000000000007E-2</v>
      </c>
    </row>
    <row r="61" spans="2:9" ht="30" customHeight="1" x14ac:dyDescent="0.25">
      <c r="B61" s="316" t="s">
        <v>100</v>
      </c>
      <c r="C61" s="321"/>
      <c r="D61" s="189" t="s">
        <v>92</v>
      </c>
      <c r="E61" s="146"/>
      <c r="F61" s="146">
        <v>100</v>
      </c>
      <c r="G61" s="149"/>
      <c r="H61" s="88">
        <v>0</v>
      </c>
      <c r="I61" s="145">
        <f t="shared" si="0"/>
        <v>7.0000000000000007E-2</v>
      </c>
    </row>
    <row r="62" spans="2:9" ht="30" customHeight="1" x14ac:dyDescent="0.25">
      <c r="B62" s="311"/>
      <c r="C62" s="312"/>
      <c r="D62" s="189" t="s">
        <v>93</v>
      </c>
      <c r="E62" s="146"/>
      <c r="F62" s="146">
        <v>100</v>
      </c>
      <c r="G62" s="149"/>
      <c r="H62" s="88">
        <v>14.9</v>
      </c>
      <c r="I62" s="145">
        <f t="shared" si="0"/>
        <v>7.0000000000000007E-2</v>
      </c>
    </row>
    <row r="63" spans="2:9" ht="30" customHeight="1" x14ac:dyDescent="0.25">
      <c r="B63" s="309" t="s">
        <v>101</v>
      </c>
      <c r="C63" s="310"/>
      <c r="D63" s="189" t="s">
        <v>92</v>
      </c>
      <c r="E63" s="146"/>
      <c r="F63" s="146">
        <v>100</v>
      </c>
      <c r="G63" s="149"/>
      <c r="H63" s="88">
        <v>0</v>
      </c>
      <c r="I63" s="145">
        <f t="shared" si="0"/>
        <v>7.0000000000000007E-2</v>
      </c>
    </row>
    <row r="64" spans="2:9" ht="30" customHeight="1" x14ac:dyDescent="0.25">
      <c r="B64" s="311"/>
      <c r="C64" s="312"/>
      <c r="D64" s="189" t="s">
        <v>93</v>
      </c>
      <c r="E64" s="146"/>
      <c r="F64" s="146">
        <v>100</v>
      </c>
      <c r="G64" s="149"/>
      <c r="H64" s="88">
        <v>14.9</v>
      </c>
      <c r="I64" s="145">
        <f t="shared" si="0"/>
        <v>7.0000000000000007E-2</v>
      </c>
    </row>
    <row r="65" spans="2:9" ht="15" customHeight="1" x14ac:dyDescent="0.25">
      <c r="B65" s="305" t="s">
        <v>317</v>
      </c>
      <c r="C65" s="305"/>
      <c r="D65" s="305"/>
      <c r="E65" s="305"/>
      <c r="F65" s="305"/>
      <c r="G65" s="305"/>
      <c r="H65" s="305"/>
      <c r="I65" s="305"/>
    </row>
    <row r="66" spans="2:9" ht="15" customHeight="1" x14ac:dyDescent="0.25">
      <c r="B66" s="323" t="s">
        <v>384</v>
      </c>
      <c r="C66" s="323"/>
      <c r="D66" s="323"/>
      <c r="E66" s="323"/>
      <c r="F66" s="323"/>
      <c r="G66" s="323"/>
      <c r="H66" s="323"/>
      <c r="I66" s="323"/>
    </row>
    <row r="67" spans="2:9" ht="30" customHeight="1" x14ac:dyDescent="0.25">
      <c r="B67" s="164"/>
      <c r="C67" s="164"/>
      <c r="D67" s="164"/>
      <c r="E67" s="164"/>
      <c r="F67" s="164"/>
      <c r="G67" s="164"/>
      <c r="H67" s="164"/>
      <c r="I67" s="164"/>
    </row>
    <row r="68" spans="2:9" ht="30" customHeight="1" x14ac:dyDescent="0.25">
      <c r="B68" s="292" t="s">
        <v>459</v>
      </c>
      <c r="C68" s="292"/>
      <c r="D68" s="292"/>
      <c r="E68" s="292"/>
      <c r="F68" s="292"/>
      <c r="G68" s="292"/>
      <c r="H68" s="292"/>
      <c r="I68" s="292"/>
    </row>
    <row r="69" spans="2:9" ht="50.1" customHeight="1" x14ac:dyDescent="0.25">
      <c r="B69" s="322" t="s">
        <v>303</v>
      </c>
      <c r="C69" s="322"/>
      <c r="D69" s="322"/>
      <c r="E69" s="322"/>
      <c r="F69" s="322"/>
      <c r="G69" s="322"/>
      <c r="H69" s="322"/>
      <c r="I69" s="322"/>
    </row>
    <row r="70" spans="2:9" ht="30" customHeight="1" x14ac:dyDescent="0.25">
      <c r="B70" s="293" t="s">
        <v>424</v>
      </c>
      <c r="C70" s="293"/>
      <c r="D70" s="293"/>
      <c r="E70" s="86"/>
      <c r="F70" s="38"/>
      <c r="G70" s="300" t="s">
        <v>301</v>
      </c>
      <c r="H70" s="300"/>
      <c r="I70" s="300"/>
    </row>
    <row r="71" spans="2:9" ht="39.950000000000003" customHeight="1" x14ac:dyDescent="0.25">
      <c r="B71" s="304" t="s">
        <v>421</v>
      </c>
      <c r="C71" s="304"/>
      <c r="D71" s="304"/>
      <c r="E71" s="86"/>
      <c r="F71" s="38"/>
      <c r="G71" s="301" t="s">
        <v>408</v>
      </c>
      <c r="H71" s="301"/>
      <c r="I71" s="301"/>
    </row>
    <row r="72" spans="2:9" ht="6.95" customHeight="1" x14ac:dyDescent="0.25">
      <c r="B72" s="227"/>
      <c r="C72" s="227"/>
      <c r="D72" s="227"/>
      <c r="E72" s="226"/>
      <c r="F72" s="225"/>
      <c r="G72" s="228"/>
      <c r="H72" s="228"/>
      <c r="I72" s="228"/>
    </row>
    <row r="73" spans="2:9" ht="30" customHeight="1" x14ac:dyDescent="0.25">
      <c r="B73" s="134" t="s">
        <v>422</v>
      </c>
      <c r="C73" s="174"/>
      <c r="D73" s="131" t="s">
        <v>111</v>
      </c>
      <c r="E73" s="86"/>
      <c r="F73" s="38"/>
      <c r="H73" s="133" t="s">
        <v>108</v>
      </c>
    </row>
    <row r="74" spans="2:9" ht="30" customHeight="1" x14ac:dyDescent="0.25">
      <c r="B74" s="185"/>
      <c r="D74" s="184"/>
      <c r="E74" s="86"/>
      <c r="F74" s="38"/>
      <c r="G74" s="134" t="s">
        <v>304</v>
      </c>
      <c r="H74" s="156"/>
      <c r="I74" s="186" t="s">
        <v>110</v>
      </c>
    </row>
    <row r="75" spans="2:9" ht="30" customHeight="1" x14ac:dyDescent="0.25">
      <c r="B75" s="134" t="s">
        <v>423</v>
      </c>
      <c r="C75" s="174"/>
      <c r="D75" s="131" t="s">
        <v>115</v>
      </c>
      <c r="E75" s="86"/>
      <c r="F75" s="38"/>
    </row>
    <row r="76" spans="2:9" ht="30" customHeight="1" x14ac:dyDescent="0.25">
      <c r="B76" s="178" t="s">
        <v>333</v>
      </c>
      <c r="C76" s="143">
        <f>(('Lägg in data här'!C75/100)*0.7)/Referenser!C82*100</f>
        <v>0</v>
      </c>
      <c r="D76" s="131" t="s">
        <v>115</v>
      </c>
      <c r="E76" s="86"/>
      <c r="F76" s="38"/>
      <c r="G76" s="77" t="s">
        <v>86</v>
      </c>
      <c r="H76" s="163" t="s">
        <v>305</v>
      </c>
      <c r="I76" s="163" t="s">
        <v>302</v>
      </c>
    </row>
    <row r="77" spans="2:9" ht="30" customHeight="1" x14ac:dyDescent="0.25">
      <c r="B77" s="107"/>
      <c r="D77" s="107"/>
      <c r="E77" s="86"/>
      <c r="F77" s="38"/>
      <c r="G77" s="98" t="s">
        <v>102</v>
      </c>
      <c r="H77" s="175"/>
      <c r="I77" s="162">
        <v>4.8999999999999998E-3</v>
      </c>
    </row>
    <row r="78" spans="2:9" ht="30" customHeight="1" x14ac:dyDescent="0.25">
      <c r="B78" s="86"/>
      <c r="C78" s="133" t="s">
        <v>108</v>
      </c>
      <c r="D78" s="107"/>
      <c r="E78" s="86"/>
      <c r="F78" s="38"/>
      <c r="G78" s="98" t="s">
        <v>103</v>
      </c>
      <c r="H78" s="146"/>
      <c r="I78" s="161">
        <v>4.8999999999999998E-3</v>
      </c>
    </row>
    <row r="79" spans="2:9" ht="30" customHeight="1" x14ac:dyDescent="0.25">
      <c r="B79" s="134" t="s">
        <v>420</v>
      </c>
      <c r="C79" s="156"/>
      <c r="D79" s="131" t="s">
        <v>110</v>
      </c>
      <c r="E79" s="86"/>
      <c r="F79" s="38"/>
      <c r="G79" s="98" t="s">
        <v>105</v>
      </c>
      <c r="H79" s="174"/>
      <c r="I79" s="161">
        <v>2.9999999999999997E-4</v>
      </c>
    </row>
    <row r="80" spans="2:9" ht="30" customHeight="1" x14ac:dyDescent="0.25">
      <c r="B80" s="134"/>
      <c r="C80" s="133" t="s">
        <v>112</v>
      </c>
      <c r="D80" s="107"/>
      <c r="E80" s="86"/>
      <c r="F80" s="38"/>
      <c r="G80" s="98" t="s">
        <v>104</v>
      </c>
      <c r="H80" s="146"/>
      <c r="I80" s="160">
        <v>0.02</v>
      </c>
    </row>
    <row r="81" spans="2:15" ht="30" customHeight="1" x14ac:dyDescent="0.25">
      <c r="B81" s="134" t="s">
        <v>420</v>
      </c>
      <c r="C81" s="88">
        <f>C73*(C76/100)*Referenser!C82*(Referenser!C83/100)</f>
        <v>0</v>
      </c>
      <c r="D81" s="131" t="s">
        <v>110</v>
      </c>
      <c r="E81" s="86"/>
      <c r="F81" s="38"/>
      <c r="G81" s="98" t="s">
        <v>300</v>
      </c>
      <c r="H81" s="174"/>
      <c r="I81" s="231">
        <v>1</v>
      </c>
    </row>
    <row r="82" spans="2:15" ht="30" customHeight="1" x14ac:dyDescent="0.25">
      <c r="B82" s="86"/>
      <c r="C82" s="86"/>
      <c r="D82" s="86"/>
      <c r="E82" s="86"/>
      <c r="F82" s="38"/>
      <c r="G82" s="38"/>
      <c r="H82" s="41"/>
      <c r="I82" s="41"/>
    </row>
    <row r="83" spans="2:15" ht="30" customHeight="1" x14ac:dyDescent="0.25">
      <c r="B83" s="292" t="s">
        <v>337</v>
      </c>
      <c r="C83" s="292"/>
      <c r="D83" s="292"/>
      <c r="E83" s="292"/>
      <c r="F83" s="292"/>
      <c r="G83" s="292"/>
      <c r="H83" s="292"/>
      <c r="I83" s="292"/>
    </row>
    <row r="84" spans="2:15" ht="60" customHeight="1" x14ac:dyDescent="0.25">
      <c r="B84" s="269" t="s">
        <v>106</v>
      </c>
      <c r="C84" s="269"/>
      <c r="D84" s="269"/>
      <c r="E84" s="269"/>
      <c r="F84" s="269"/>
      <c r="G84" s="269"/>
      <c r="H84" s="269"/>
      <c r="I84" s="269"/>
    </row>
    <row r="85" spans="2:15" ht="30" customHeight="1" x14ac:dyDescent="0.25">
      <c r="B85" s="300" t="s">
        <v>107</v>
      </c>
      <c r="C85" s="300"/>
      <c r="D85" s="300"/>
      <c r="E85" s="97"/>
      <c r="F85" s="53"/>
      <c r="G85" s="306" t="s">
        <v>417</v>
      </c>
      <c r="H85" s="306"/>
      <c r="I85" s="306"/>
    </row>
    <row r="86" spans="2:15" ht="30" customHeight="1" x14ac:dyDescent="0.25">
      <c r="C86" s="133" t="s">
        <v>108</v>
      </c>
      <c r="G86" s="301" t="s">
        <v>440</v>
      </c>
      <c r="H86" s="301"/>
      <c r="I86" s="301"/>
    </row>
    <row r="87" spans="2:15" ht="30" customHeight="1" x14ac:dyDescent="0.25">
      <c r="B87" s="134" t="s">
        <v>109</v>
      </c>
      <c r="C87" s="174"/>
      <c r="D87" s="131" t="s">
        <v>110</v>
      </c>
      <c r="E87" s="102"/>
      <c r="F87" s="87"/>
      <c r="G87" s="302"/>
      <c r="H87" s="302"/>
      <c r="I87" s="302"/>
    </row>
    <row r="88" spans="2:15" ht="30" customHeight="1" x14ac:dyDescent="0.25">
      <c r="B88" s="99"/>
      <c r="C88" s="133" t="s">
        <v>112</v>
      </c>
      <c r="D88" s="107"/>
      <c r="G88" s="159" t="s">
        <v>299</v>
      </c>
      <c r="H88" s="156"/>
      <c r="I88" s="157" t="s">
        <v>115</v>
      </c>
    </row>
    <row r="89" spans="2:15" ht="30" customHeight="1" x14ac:dyDescent="0.25">
      <c r="B89" s="134" t="s">
        <v>113</v>
      </c>
      <c r="C89" s="174"/>
      <c r="D89" s="131" t="s">
        <v>114</v>
      </c>
    </row>
    <row r="90" spans="2:15" ht="30" customHeight="1" x14ac:dyDescent="0.25">
      <c r="B90" s="134" t="s">
        <v>109</v>
      </c>
      <c r="C90" s="115">
        <f>C89*Referenser!C78</f>
        <v>0</v>
      </c>
      <c r="D90" s="131" t="s">
        <v>110</v>
      </c>
      <c r="G90" s="87"/>
      <c r="H90" s="133" t="s">
        <v>119</v>
      </c>
      <c r="I90" s="87"/>
      <c r="N90" s="68"/>
      <c r="O90" s="83"/>
    </row>
    <row r="91" spans="2:15" ht="30" customHeight="1" x14ac:dyDescent="0.25">
      <c r="B91" s="86"/>
      <c r="C91" s="86"/>
      <c r="D91" s="38"/>
      <c r="G91" s="134" t="s">
        <v>425</v>
      </c>
      <c r="H91" s="156"/>
      <c r="I91" s="131" t="s">
        <v>110</v>
      </c>
      <c r="N91" s="68"/>
      <c r="O91" s="83"/>
    </row>
    <row r="92" spans="2:15" ht="30" customHeight="1" x14ac:dyDescent="0.25">
      <c r="B92" s="293" t="s">
        <v>116</v>
      </c>
      <c r="C92" s="293"/>
      <c r="D92" s="293"/>
      <c r="G92" s="137" t="s">
        <v>426</v>
      </c>
      <c r="H92" s="146"/>
      <c r="I92" s="131" t="s">
        <v>118</v>
      </c>
      <c r="N92" s="63"/>
      <c r="O92" s="70"/>
    </row>
    <row r="93" spans="2:15" ht="30" customHeight="1" x14ac:dyDescent="0.25">
      <c r="C93" s="133" t="s">
        <v>108</v>
      </c>
      <c r="E93" s="106"/>
      <c r="G93" s="87"/>
      <c r="H93" s="133" t="s">
        <v>112</v>
      </c>
      <c r="I93" s="181"/>
      <c r="N93" s="63"/>
      <c r="O93" s="70"/>
    </row>
    <row r="94" spans="2:15" s="87" customFormat="1" ht="30" customHeight="1" x14ac:dyDescent="0.25">
      <c r="B94" s="134" t="s">
        <v>117</v>
      </c>
      <c r="C94" s="174"/>
      <c r="D94" s="131" t="s">
        <v>118</v>
      </c>
      <c r="G94" s="134" t="s">
        <v>365</v>
      </c>
      <c r="H94" s="174"/>
      <c r="I94" s="131" t="s">
        <v>306</v>
      </c>
      <c r="N94" s="64"/>
      <c r="O94" s="70"/>
    </row>
    <row r="95" spans="2:15" s="87" customFormat="1" ht="30" customHeight="1" x14ac:dyDescent="0.25">
      <c r="B95" s="100"/>
      <c r="C95" s="133" t="s">
        <v>112</v>
      </c>
      <c r="D95" s="183"/>
      <c r="G95" s="134" t="s">
        <v>425</v>
      </c>
      <c r="H95" s="115">
        <f>H94*Referenser!C84*(H88/100)</f>
        <v>0</v>
      </c>
      <c r="I95" s="131" t="s">
        <v>110</v>
      </c>
      <c r="N95" s="74"/>
      <c r="O95" s="70"/>
    </row>
    <row r="96" spans="2:15" s="87" customFormat="1" ht="30" customHeight="1" x14ac:dyDescent="0.25">
      <c r="B96" s="134" t="s">
        <v>117</v>
      </c>
      <c r="C96" s="115">
        <f>G8*Referenser!C79</f>
        <v>0</v>
      </c>
      <c r="D96" s="131" t="s">
        <v>118</v>
      </c>
      <c r="N96" s="74"/>
      <c r="O96" s="70"/>
    </row>
    <row r="97" spans="2:15" s="87" customFormat="1" ht="30" customHeight="1" x14ac:dyDescent="0.25">
      <c r="B97"/>
      <c r="C97"/>
      <c r="D97"/>
      <c r="E97"/>
      <c r="N97" s="74"/>
      <c r="O97" s="70"/>
    </row>
    <row r="98" spans="2:15" s="87" customFormat="1" ht="30" customHeight="1" x14ac:dyDescent="0.25">
      <c r="B98"/>
      <c r="C98"/>
      <c r="D98"/>
      <c r="E98"/>
      <c r="G98" s="293" t="s">
        <v>122</v>
      </c>
      <c r="H98" s="293"/>
      <c r="I98" s="293"/>
      <c r="N98" s="74"/>
      <c r="O98" s="70"/>
    </row>
    <row r="99" spans="2:15" s="87" customFormat="1" ht="30" customHeight="1" x14ac:dyDescent="0.25">
      <c r="B99" s="300" t="s">
        <v>120</v>
      </c>
      <c r="C99" s="300"/>
      <c r="D99" s="300"/>
      <c r="E99"/>
      <c r="G99" s="303" t="s">
        <v>460</v>
      </c>
      <c r="H99" s="303"/>
      <c r="I99" s="303"/>
      <c r="N99" s="74"/>
      <c r="O99" s="70"/>
    </row>
    <row r="100" spans="2:15" s="87" customFormat="1" ht="30" customHeight="1" x14ac:dyDescent="0.25">
      <c r="B100" s="289" t="s">
        <v>366</v>
      </c>
      <c r="C100" s="289"/>
      <c r="D100" s="289"/>
      <c r="E100"/>
      <c r="N100" s="74"/>
      <c r="O100" s="70"/>
    </row>
    <row r="101" spans="2:15" s="87" customFormat="1" ht="30" customHeight="1" x14ac:dyDescent="0.25">
      <c r="B101" s="290"/>
      <c r="C101" s="290"/>
      <c r="D101" s="290"/>
      <c r="G101" s="138" t="s">
        <v>125</v>
      </c>
      <c r="H101" s="146"/>
      <c r="I101" s="182" t="s">
        <v>385</v>
      </c>
      <c r="N101" s="74"/>
      <c r="O101" s="70"/>
    </row>
    <row r="102" spans="2:15" s="87" customFormat="1" ht="30" customHeight="1" x14ac:dyDescent="0.25">
      <c r="B102" s="135"/>
      <c r="C102" s="133" t="s">
        <v>108</v>
      </c>
      <c r="D102" s="135"/>
      <c r="G102" s="134" t="s">
        <v>126</v>
      </c>
      <c r="H102" s="156"/>
      <c r="I102" s="131" t="s">
        <v>124</v>
      </c>
      <c r="N102" s="74"/>
      <c r="O102" s="70"/>
    </row>
    <row r="103" spans="2:15" s="87" customFormat="1" ht="30" customHeight="1" x14ac:dyDescent="0.25">
      <c r="B103" s="134" t="s">
        <v>121</v>
      </c>
      <c r="C103" s="174"/>
      <c r="D103" s="131" t="s">
        <v>118</v>
      </c>
      <c r="N103" s="74"/>
      <c r="O103" s="70"/>
    </row>
    <row r="104" spans="2:15" s="87" customFormat="1" ht="30" customHeight="1" x14ac:dyDescent="0.25">
      <c r="D104" s="181"/>
      <c r="G104"/>
      <c r="H104" s="141" t="s">
        <v>127</v>
      </c>
      <c r="I104"/>
      <c r="N104" s="74"/>
      <c r="O104" s="70"/>
    </row>
    <row r="105" spans="2:15" s="87" customFormat="1" ht="30" customHeight="1" x14ac:dyDescent="0.25">
      <c r="C105" s="141" t="s">
        <v>311</v>
      </c>
      <c r="D105" s="181"/>
      <c r="G105"/>
      <c r="H105" s="133"/>
      <c r="I105"/>
      <c r="N105" s="74"/>
      <c r="O105" s="70"/>
    </row>
    <row r="106" spans="2:15" s="87" customFormat="1" ht="30" customHeight="1" x14ac:dyDescent="0.25">
      <c r="B106" s="101"/>
      <c r="C106" s="133" t="s">
        <v>112</v>
      </c>
      <c r="D106" s="181"/>
      <c r="E106" s="107"/>
      <c r="G106" s="134" t="s">
        <v>128</v>
      </c>
      <c r="H106" s="88">
        <f>H101*Referenser!C85</f>
        <v>0</v>
      </c>
      <c r="I106" s="131" t="s">
        <v>110</v>
      </c>
      <c r="N106" s="74"/>
      <c r="O106" s="70"/>
    </row>
    <row r="107" spans="2:15" s="87" customFormat="1" ht="30" customHeight="1" x14ac:dyDescent="0.25">
      <c r="B107" s="134" t="s">
        <v>123</v>
      </c>
      <c r="C107" s="156"/>
      <c r="D107" s="131" t="s">
        <v>124</v>
      </c>
      <c r="G107" s="134" t="s">
        <v>129</v>
      </c>
      <c r="H107" s="88">
        <f>H102*Referenser!C86</f>
        <v>0</v>
      </c>
      <c r="I107" s="131" t="s">
        <v>118</v>
      </c>
      <c r="N107" s="74"/>
      <c r="O107" s="70"/>
    </row>
    <row r="108" spans="2:15" s="87" customFormat="1" ht="30" customHeight="1" x14ac:dyDescent="0.25">
      <c r="B108" s="134" t="s">
        <v>380</v>
      </c>
      <c r="C108" s="88">
        <f>C107*Referenser!C80</f>
        <v>0</v>
      </c>
      <c r="D108" s="131" t="s">
        <v>118</v>
      </c>
      <c r="N108" s="74"/>
      <c r="O108" s="70"/>
    </row>
    <row r="109" spans="2:15" s="87" customFormat="1" ht="30" customHeight="1" x14ac:dyDescent="0.25">
      <c r="D109" s="181"/>
      <c r="N109" s="74"/>
      <c r="O109" s="70"/>
    </row>
    <row r="110" spans="2:15" s="87" customFormat="1" ht="30" customHeight="1" x14ac:dyDescent="0.25">
      <c r="C110" s="141" t="s">
        <v>367</v>
      </c>
      <c r="D110" s="181"/>
      <c r="N110" s="74"/>
      <c r="O110" s="70"/>
    </row>
    <row r="111" spans="2:15" s="87" customFormat="1" ht="30" customHeight="1" x14ac:dyDescent="0.25">
      <c r="B111" s="101"/>
      <c r="C111" s="133" t="s">
        <v>112</v>
      </c>
      <c r="D111" s="181"/>
      <c r="F111"/>
      <c r="N111" s="74"/>
      <c r="O111" s="70"/>
    </row>
    <row r="112" spans="2:15" s="87" customFormat="1" ht="30" customHeight="1" x14ac:dyDescent="0.25">
      <c r="B112" s="134" t="s">
        <v>123</v>
      </c>
      <c r="C112" s="156"/>
      <c r="D112" s="131" t="s">
        <v>124</v>
      </c>
      <c r="F112"/>
      <c r="N112" s="74"/>
      <c r="O112" s="70"/>
    </row>
    <row r="113" spans="2:15" s="87" customFormat="1" ht="30" customHeight="1" x14ac:dyDescent="0.25">
      <c r="B113" s="134" t="s">
        <v>381</v>
      </c>
      <c r="C113" s="88">
        <f>C112*Referenser!C81</f>
        <v>0</v>
      </c>
      <c r="D113" s="131" t="s">
        <v>118</v>
      </c>
      <c r="F113"/>
      <c r="N113" s="74"/>
      <c r="O113" s="70"/>
    </row>
    <row r="114" spans="2:15" s="87" customFormat="1" ht="30" customHeight="1" x14ac:dyDescent="0.25">
      <c r="E114"/>
      <c r="F114"/>
      <c r="N114" s="74"/>
      <c r="O114" s="70"/>
    </row>
    <row r="115" spans="2:15" s="87" customFormat="1" ht="30" customHeight="1" x14ac:dyDescent="0.25">
      <c r="F115"/>
      <c r="N115" s="74"/>
      <c r="O115" s="70"/>
    </row>
    <row r="116" spans="2:15" s="87" customFormat="1" ht="30" hidden="1" customHeight="1" x14ac:dyDescent="0.25">
      <c r="F116"/>
    </row>
    <row r="117" spans="2:15" s="87" customFormat="1" ht="30" hidden="1" customHeight="1" x14ac:dyDescent="0.25">
      <c r="F117"/>
    </row>
    <row r="118" spans="2:15" s="87" customFormat="1" ht="30" hidden="1" customHeight="1" x14ac:dyDescent="0.25">
      <c r="F118"/>
    </row>
    <row r="119" spans="2:15" s="87" customFormat="1" ht="30" hidden="1" customHeight="1" x14ac:dyDescent="0.25">
      <c r="F119"/>
    </row>
    <row r="120" spans="2:15" s="87" customFormat="1" ht="30" hidden="1" customHeight="1" x14ac:dyDescent="0.25">
      <c r="D120" s="28"/>
      <c r="F120"/>
    </row>
    <row r="121" spans="2:15" ht="30" hidden="1" customHeight="1" x14ac:dyDescent="0.25"/>
    <row r="122" spans="2:15" ht="30" hidden="1" customHeight="1" x14ac:dyDescent="0.25"/>
    <row r="123" spans="2:15" ht="30" hidden="1" customHeight="1" x14ac:dyDescent="0.25"/>
  </sheetData>
  <sheetProtection sheet="1" objects="1" scenarios="1"/>
  <mergeCells count="37">
    <mergeCell ref="G99:I99"/>
    <mergeCell ref="B71:D71"/>
    <mergeCell ref="B65:I65"/>
    <mergeCell ref="G85:I85"/>
    <mergeCell ref="B50:C50"/>
    <mergeCell ref="B53:C54"/>
    <mergeCell ref="B55:C55"/>
    <mergeCell ref="B56:C60"/>
    <mergeCell ref="B63:C64"/>
    <mergeCell ref="B61:C62"/>
    <mergeCell ref="B51:C52"/>
    <mergeCell ref="B68:I68"/>
    <mergeCell ref="G70:I70"/>
    <mergeCell ref="G71:I71"/>
    <mergeCell ref="B69:I69"/>
    <mergeCell ref="B66:I66"/>
    <mergeCell ref="B84:I84"/>
    <mergeCell ref="B85:D85"/>
    <mergeCell ref="G98:I98"/>
    <mergeCell ref="B92:D92"/>
    <mergeCell ref="G86:I87"/>
    <mergeCell ref="B100:D101"/>
    <mergeCell ref="B3:I3"/>
    <mergeCell ref="B4:I4"/>
    <mergeCell ref="B10:I10"/>
    <mergeCell ref="B11:I11"/>
    <mergeCell ref="B70:D70"/>
    <mergeCell ref="B83:I83"/>
    <mergeCell ref="C6:D6"/>
    <mergeCell ref="F6:H6"/>
    <mergeCell ref="D29:G29"/>
    <mergeCell ref="D30:G30"/>
    <mergeCell ref="B32:I32"/>
    <mergeCell ref="B33:I33"/>
    <mergeCell ref="B47:I47"/>
    <mergeCell ref="B48:I48"/>
    <mergeCell ref="B99:D99"/>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G51:G64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2"/>
  <sheetViews>
    <sheetView showGridLines="0" topLeftCell="A2" zoomScale="90" zoomScaleNormal="90" workbookViewId="0">
      <selection activeCell="G2" sqref="G2"/>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82" t="s">
        <v>63</v>
      </c>
      <c r="C3" s="282"/>
      <c r="D3" s="282"/>
      <c r="E3" s="282"/>
      <c r="F3" s="282"/>
      <c r="G3" s="282"/>
      <c r="H3" s="282"/>
      <c r="I3" s="282"/>
    </row>
    <row r="4" spans="1:9" ht="33" customHeight="1" x14ac:dyDescent="0.25">
      <c r="B4" s="291" t="s">
        <v>64</v>
      </c>
      <c r="C4" s="291"/>
      <c r="D4" s="284"/>
      <c r="E4" s="284"/>
      <c r="F4" s="284"/>
      <c r="G4" s="284"/>
      <c r="H4" s="284"/>
      <c r="I4" s="284"/>
    </row>
    <row r="5" spans="1:9" ht="33" customHeight="1" x14ac:dyDescent="0.25">
      <c r="B5" s="66"/>
      <c r="C5" s="66"/>
      <c r="D5" s="66"/>
      <c r="E5" s="66"/>
      <c r="F5" s="66"/>
      <c r="G5" s="66"/>
      <c r="H5" s="66"/>
      <c r="I5" s="66"/>
    </row>
    <row r="6" spans="1:9" ht="33" customHeight="1" x14ac:dyDescent="0.25">
      <c r="B6" s="268" t="s">
        <v>473</v>
      </c>
      <c r="C6" s="268"/>
      <c r="D6" s="268"/>
      <c r="E6" s="268"/>
      <c r="F6" s="268"/>
      <c r="G6" s="268"/>
      <c r="H6" s="268"/>
      <c r="I6" s="268"/>
    </row>
    <row r="7" spans="1:9" ht="60" customHeight="1" x14ac:dyDescent="0.25">
      <c r="A7" s="23"/>
      <c r="B7" s="285" t="s">
        <v>472</v>
      </c>
      <c r="C7" s="285"/>
      <c r="D7" s="285"/>
      <c r="E7" s="285"/>
      <c r="F7" s="285"/>
      <c r="G7" s="285"/>
      <c r="H7" s="285"/>
      <c r="I7" s="285"/>
    </row>
    <row r="8" spans="1:9" ht="20.100000000000001" customHeight="1" x14ac:dyDescent="0.25">
      <c r="B8" s="64"/>
      <c r="C8" s="64"/>
      <c r="D8" s="64"/>
      <c r="E8" s="53"/>
      <c r="F8" s="53"/>
      <c r="G8" s="64"/>
      <c r="H8" s="64"/>
      <c r="I8" s="64"/>
    </row>
    <row r="9" spans="1:9" ht="60" customHeight="1" x14ac:dyDescent="0.25">
      <c r="C9" s="54" t="s">
        <v>130</v>
      </c>
      <c r="D9" s="55" t="s">
        <v>416</v>
      </c>
      <c r="E9" s="55" t="s">
        <v>131</v>
      </c>
      <c r="F9" s="55" t="s">
        <v>89</v>
      </c>
      <c r="G9" s="55" t="s">
        <v>132</v>
      </c>
      <c r="H9" s="55" t="s">
        <v>133</v>
      </c>
      <c r="I9" s="55" t="s">
        <v>134</v>
      </c>
    </row>
    <row r="10" spans="1:9" ht="30" customHeight="1" x14ac:dyDescent="0.25">
      <c r="C10" s="98" t="s">
        <v>135</v>
      </c>
      <c r="D10" s="146"/>
      <c r="E10" s="146">
        <v>300</v>
      </c>
      <c r="F10" s="149"/>
      <c r="G10" s="88">
        <v>607</v>
      </c>
      <c r="H10" s="88">
        <v>1375</v>
      </c>
      <c r="I10" s="145">
        <f>IF(F10="Fossilfritt", 0.01, 0.07)</f>
        <v>7.0000000000000007E-2</v>
      </c>
    </row>
    <row r="11" spans="1:9" ht="30" customHeight="1" x14ac:dyDescent="0.25">
      <c r="C11" s="98" t="s">
        <v>136</v>
      </c>
      <c r="D11" s="146"/>
      <c r="E11" s="146">
        <v>300</v>
      </c>
      <c r="F11" s="149"/>
      <c r="G11" s="88">
        <v>760</v>
      </c>
      <c r="H11" s="88">
        <v>0</v>
      </c>
      <c r="I11" s="145">
        <f t="shared" ref="I11:I17" si="0">IF(F11="Fossilfritt", 0.01, 0.07)</f>
        <v>7.0000000000000007E-2</v>
      </c>
    </row>
    <row r="12" spans="1:9" ht="30" customHeight="1" x14ac:dyDescent="0.25">
      <c r="C12" s="98" t="s">
        <v>137</v>
      </c>
      <c r="D12" s="146"/>
      <c r="E12" s="146">
        <v>300</v>
      </c>
      <c r="F12" s="149"/>
      <c r="G12" s="88">
        <v>1180</v>
      </c>
      <c r="H12" s="143">
        <v>1913</v>
      </c>
      <c r="I12" s="145">
        <f t="shared" si="0"/>
        <v>7.0000000000000007E-2</v>
      </c>
    </row>
    <row r="13" spans="1:9" ht="30" customHeight="1" x14ac:dyDescent="0.25">
      <c r="C13" s="98" t="s">
        <v>138</v>
      </c>
      <c r="D13" s="146"/>
      <c r="E13" s="146">
        <v>300</v>
      </c>
      <c r="F13" s="149"/>
      <c r="G13" s="88">
        <v>543</v>
      </c>
      <c r="H13" s="143">
        <v>0</v>
      </c>
      <c r="I13" s="145">
        <f t="shared" si="0"/>
        <v>7.0000000000000007E-2</v>
      </c>
    </row>
    <row r="14" spans="1:9" ht="30" customHeight="1" x14ac:dyDescent="0.25">
      <c r="C14" s="98" t="s">
        <v>139</v>
      </c>
      <c r="D14" s="146"/>
      <c r="E14" s="146">
        <v>300</v>
      </c>
      <c r="F14" s="149"/>
      <c r="G14" s="88">
        <v>1910</v>
      </c>
      <c r="H14" s="143">
        <v>2200</v>
      </c>
      <c r="I14" s="145">
        <f t="shared" si="0"/>
        <v>7.0000000000000007E-2</v>
      </c>
    </row>
    <row r="15" spans="1:9" ht="30" customHeight="1" x14ac:dyDescent="0.25">
      <c r="C15" s="98" t="s">
        <v>462</v>
      </c>
      <c r="D15" s="146"/>
      <c r="E15" s="146">
        <v>300</v>
      </c>
      <c r="F15" s="149"/>
      <c r="G15" s="88">
        <v>342</v>
      </c>
      <c r="H15" s="240">
        <v>0</v>
      </c>
      <c r="I15" s="145">
        <f t="shared" si="0"/>
        <v>7.0000000000000007E-2</v>
      </c>
    </row>
    <row r="16" spans="1:9" ht="30" customHeight="1" x14ac:dyDescent="0.25">
      <c r="C16" s="151" t="s">
        <v>73</v>
      </c>
      <c r="D16" s="156"/>
      <c r="E16" s="146">
        <v>300</v>
      </c>
      <c r="F16" s="149"/>
      <c r="G16" s="146"/>
      <c r="H16" s="146"/>
      <c r="I16" s="145">
        <f t="shared" si="0"/>
        <v>7.0000000000000007E-2</v>
      </c>
    </row>
    <row r="17" spans="2:13" ht="30" customHeight="1" x14ac:dyDescent="0.25">
      <c r="C17" s="151" t="s">
        <v>73</v>
      </c>
      <c r="D17" s="156"/>
      <c r="E17" s="146">
        <v>300</v>
      </c>
      <c r="F17" s="149"/>
      <c r="G17" s="146"/>
      <c r="H17" s="146"/>
      <c r="I17" s="145">
        <f t="shared" si="0"/>
        <v>7.0000000000000007E-2</v>
      </c>
    </row>
    <row r="18" spans="2:13" ht="30" customHeight="1" x14ac:dyDescent="0.25">
      <c r="D18" s="66"/>
      <c r="E18" s="66"/>
      <c r="F18" s="25"/>
      <c r="G18" s="63"/>
      <c r="H18" s="28"/>
      <c r="I18" s="28"/>
      <c r="K18" s="63"/>
      <c r="L18" s="70"/>
      <c r="M18" s="70"/>
    </row>
    <row r="19" spans="2:13" ht="30" customHeight="1" x14ac:dyDescent="0.25">
      <c r="B19" s="268" t="s">
        <v>474</v>
      </c>
      <c r="C19" s="268"/>
      <c r="D19" s="268"/>
      <c r="E19" s="268"/>
      <c r="F19" s="268"/>
      <c r="G19" s="268"/>
      <c r="H19" s="268"/>
      <c r="I19" s="268"/>
      <c r="K19" s="63"/>
      <c r="L19" s="70"/>
      <c r="M19" s="70"/>
    </row>
    <row r="20" spans="2:13" ht="50.1" customHeight="1" x14ac:dyDescent="0.25">
      <c r="B20" s="285" t="s">
        <v>475</v>
      </c>
      <c r="C20" s="285"/>
      <c r="D20" s="285"/>
      <c r="E20" s="285"/>
      <c r="F20" s="285"/>
      <c r="G20" s="285"/>
      <c r="H20" s="285"/>
      <c r="I20" s="285"/>
      <c r="K20" s="63"/>
      <c r="L20" s="70"/>
      <c r="M20" s="70"/>
    </row>
    <row r="21" spans="2:13" ht="20.100000000000001" customHeight="1" x14ac:dyDescent="0.25">
      <c r="B21" s="64"/>
      <c r="C21" s="65"/>
      <c r="D21" s="65"/>
      <c r="E21" s="65"/>
      <c r="F21" s="65"/>
      <c r="G21" s="65"/>
      <c r="H21" s="65"/>
      <c r="I21" s="64"/>
      <c r="K21" s="63"/>
      <c r="L21" s="70"/>
      <c r="M21" s="70"/>
    </row>
    <row r="22" spans="2:13" ht="60" customHeight="1" x14ac:dyDescent="0.25">
      <c r="C22" s="54" t="s">
        <v>375</v>
      </c>
      <c r="D22" s="55" t="s">
        <v>416</v>
      </c>
      <c r="E22" s="55" t="s">
        <v>131</v>
      </c>
      <c r="F22" s="55" t="s">
        <v>89</v>
      </c>
      <c r="G22" s="55" t="s">
        <v>140</v>
      </c>
      <c r="H22" s="55" t="s">
        <v>55</v>
      </c>
      <c r="I22" s="68"/>
    </row>
    <row r="23" spans="2:13" ht="30" customHeight="1" x14ac:dyDescent="0.25">
      <c r="C23" s="132" t="s">
        <v>481</v>
      </c>
      <c r="D23" s="146"/>
      <c r="E23" s="146">
        <v>300</v>
      </c>
      <c r="F23" s="149"/>
      <c r="G23" s="88">
        <v>136</v>
      </c>
      <c r="H23" s="145">
        <f t="shared" ref="H23:H42" si="1">IF(F23="Fossilfritt", 0.01, 0.07)</f>
        <v>7.0000000000000007E-2</v>
      </c>
      <c r="I23" s="28"/>
    </row>
    <row r="24" spans="2:13" ht="30" customHeight="1" x14ac:dyDescent="0.25">
      <c r="C24" s="132" t="s">
        <v>482</v>
      </c>
      <c r="D24" s="146"/>
      <c r="E24" s="146">
        <v>300</v>
      </c>
      <c r="F24" s="149"/>
      <c r="G24" s="88">
        <v>140</v>
      </c>
      <c r="H24" s="145">
        <f t="shared" si="1"/>
        <v>7.0000000000000007E-2</v>
      </c>
      <c r="I24" s="28"/>
    </row>
    <row r="25" spans="2:13" ht="30" customHeight="1" x14ac:dyDescent="0.25">
      <c r="C25" s="132" t="s">
        <v>495</v>
      </c>
      <c r="D25" s="146"/>
      <c r="E25" s="146">
        <v>300</v>
      </c>
      <c r="F25" s="149"/>
      <c r="G25" s="88">
        <v>132</v>
      </c>
      <c r="H25" s="145">
        <f t="shared" si="1"/>
        <v>7.0000000000000007E-2</v>
      </c>
      <c r="I25" s="28"/>
    </row>
    <row r="26" spans="2:13" ht="30" customHeight="1" x14ac:dyDescent="0.25">
      <c r="C26" s="247" t="s">
        <v>488</v>
      </c>
      <c r="D26" s="146"/>
      <c r="E26" s="146">
        <v>300</v>
      </c>
      <c r="F26" s="149"/>
      <c r="G26" s="88">
        <v>108</v>
      </c>
      <c r="H26" s="145">
        <f t="shared" si="1"/>
        <v>7.0000000000000007E-2</v>
      </c>
      <c r="I26" s="28"/>
    </row>
    <row r="27" spans="2:13" ht="30" customHeight="1" x14ac:dyDescent="0.25">
      <c r="C27" s="247" t="s">
        <v>489</v>
      </c>
      <c r="D27" s="146"/>
      <c r="E27" s="146">
        <v>300</v>
      </c>
      <c r="F27" s="149"/>
      <c r="G27" s="88">
        <v>86</v>
      </c>
      <c r="H27" s="145">
        <f t="shared" si="1"/>
        <v>7.0000000000000007E-2</v>
      </c>
      <c r="I27" s="28"/>
    </row>
    <row r="28" spans="2:13" ht="30" customHeight="1" x14ac:dyDescent="0.25">
      <c r="C28" s="247" t="s">
        <v>490</v>
      </c>
      <c r="D28" s="146"/>
      <c r="E28" s="146">
        <v>300</v>
      </c>
      <c r="F28" s="149"/>
      <c r="G28" s="88">
        <v>246</v>
      </c>
      <c r="H28" s="145">
        <f t="shared" si="1"/>
        <v>7.0000000000000007E-2</v>
      </c>
      <c r="I28" s="28"/>
    </row>
    <row r="29" spans="2:13" ht="30" customHeight="1" x14ac:dyDescent="0.25">
      <c r="C29" s="132" t="s">
        <v>480</v>
      </c>
      <c r="D29" s="146"/>
      <c r="E29" s="146">
        <v>300</v>
      </c>
      <c r="F29" s="149"/>
      <c r="G29" s="88">
        <v>294</v>
      </c>
      <c r="H29" s="145">
        <f t="shared" si="1"/>
        <v>7.0000000000000007E-2</v>
      </c>
      <c r="I29" s="28"/>
    </row>
    <row r="30" spans="2:13" ht="30" customHeight="1" x14ac:dyDescent="0.25">
      <c r="C30" s="104" t="s">
        <v>483</v>
      </c>
      <c r="D30" s="146"/>
      <c r="E30" s="146">
        <v>300</v>
      </c>
      <c r="F30" s="149"/>
      <c r="G30" s="88">
        <v>156</v>
      </c>
      <c r="H30" s="145">
        <f t="shared" si="1"/>
        <v>7.0000000000000007E-2</v>
      </c>
      <c r="I30" s="28"/>
    </row>
    <row r="31" spans="2:13" ht="30" customHeight="1" x14ac:dyDescent="0.25">
      <c r="C31" s="104" t="s">
        <v>484</v>
      </c>
      <c r="D31" s="146"/>
      <c r="E31" s="146">
        <v>300</v>
      </c>
      <c r="F31" s="149"/>
      <c r="G31" s="88">
        <v>202</v>
      </c>
      <c r="H31" s="145">
        <f t="shared" si="1"/>
        <v>7.0000000000000007E-2</v>
      </c>
      <c r="I31" s="28"/>
    </row>
    <row r="32" spans="2:13" ht="30" customHeight="1" x14ac:dyDescent="0.25">
      <c r="C32" s="104" t="s">
        <v>485</v>
      </c>
      <c r="D32" s="146"/>
      <c r="E32" s="146">
        <v>300</v>
      </c>
      <c r="F32" s="149"/>
      <c r="G32" s="88">
        <v>216</v>
      </c>
      <c r="H32" s="145">
        <f t="shared" si="1"/>
        <v>7.0000000000000007E-2</v>
      </c>
      <c r="I32" s="28"/>
    </row>
    <row r="33" spans="2:13" ht="30" customHeight="1" x14ac:dyDescent="0.25">
      <c r="C33" s="104" t="s">
        <v>486</v>
      </c>
      <c r="D33" s="146"/>
      <c r="E33" s="146">
        <v>300</v>
      </c>
      <c r="F33" s="149"/>
      <c r="G33" s="88">
        <v>259</v>
      </c>
      <c r="H33" s="145">
        <f t="shared" si="1"/>
        <v>7.0000000000000007E-2</v>
      </c>
      <c r="I33" s="28"/>
    </row>
    <row r="34" spans="2:13" ht="30" customHeight="1" x14ac:dyDescent="0.25">
      <c r="C34" s="104" t="s">
        <v>487</v>
      </c>
      <c r="D34" s="146"/>
      <c r="E34" s="146">
        <v>300</v>
      </c>
      <c r="F34" s="149"/>
      <c r="G34" s="88">
        <v>277</v>
      </c>
      <c r="H34" s="145">
        <f t="shared" si="1"/>
        <v>7.0000000000000007E-2</v>
      </c>
      <c r="I34" s="28"/>
    </row>
    <row r="35" spans="2:13" ht="30" customHeight="1" x14ac:dyDescent="0.25">
      <c r="C35" s="104" t="s">
        <v>491</v>
      </c>
      <c r="D35" s="146"/>
      <c r="E35" s="146">
        <v>300</v>
      </c>
      <c r="F35" s="149"/>
      <c r="G35" s="88">
        <v>209</v>
      </c>
      <c r="H35" s="145">
        <f t="shared" si="1"/>
        <v>7.0000000000000007E-2</v>
      </c>
      <c r="I35" s="28"/>
    </row>
    <row r="36" spans="2:13" ht="30" customHeight="1" x14ac:dyDescent="0.25">
      <c r="C36" s="104" t="s">
        <v>141</v>
      </c>
      <c r="D36" s="146"/>
      <c r="E36" s="146">
        <v>300</v>
      </c>
      <c r="F36" s="149"/>
      <c r="G36" s="88">
        <v>215</v>
      </c>
      <c r="H36" s="145">
        <f t="shared" si="1"/>
        <v>7.0000000000000007E-2</v>
      </c>
      <c r="I36" s="28"/>
    </row>
    <row r="37" spans="2:13" ht="30" customHeight="1" x14ac:dyDescent="0.25">
      <c r="C37" s="104" t="s">
        <v>142</v>
      </c>
      <c r="D37" s="146"/>
      <c r="E37" s="146">
        <v>300</v>
      </c>
      <c r="F37" s="149"/>
      <c r="G37" s="88">
        <v>61</v>
      </c>
      <c r="H37" s="145">
        <f t="shared" si="1"/>
        <v>7.0000000000000007E-2</v>
      </c>
      <c r="I37" s="28"/>
    </row>
    <row r="38" spans="2:13" ht="30" customHeight="1" x14ac:dyDescent="0.25">
      <c r="C38" s="104" t="s">
        <v>492</v>
      </c>
      <c r="D38" s="146"/>
      <c r="E38" s="146">
        <v>300</v>
      </c>
      <c r="F38" s="149"/>
      <c r="G38" s="88">
        <v>215</v>
      </c>
      <c r="H38" s="145">
        <f t="shared" si="1"/>
        <v>7.0000000000000007E-2</v>
      </c>
      <c r="I38" s="28"/>
    </row>
    <row r="39" spans="2:13" ht="30" customHeight="1" x14ac:dyDescent="0.25">
      <c r="C39" s="104" t="s">
        <v>493</v>
      </c>
      <c r="D39" s="146"/>
      <c r="E39" s="146">
        <v>300</v>
      </c>
      <c r="F39" s="149"/>
      <c r="G39" s="88">
        <v>60</v>
      </c>
      <c r="H39" s="145">
        <f t="shared" si="1"/>
        <v>7.0000000000000007E-2</v>
      </c>
      <c r="I39" s="28"/>
    </row>
    <row r="40" spans="2:13" ht="30" customHeight="1" x14ac:dyDescent="0.25">
      <c r="C40" s="104" t="s">
        <v>494</v>
      </c>
      <c r="D40" s="146"/>
      <c r="E40" s="146">
        <v>300</v>
      </c>
      <c r="F40" s="149"/>
      <c r="G40" s="88">
        <v>267</v>
      </c>
      <c r="H40" s="145">
        <f t="shared" si="1"/>
        <v>7.0000000000000007E-2</v>
      </c>
      <c r="I40" s="28"/>
    </row>
    <row r="41" spans="2:13" ht="30" customHeight="1" x14ac:dyDescent="0.25">
      <c r="C41" s="151" t="s">
        <v>73</v>
      </c>
      <c r="D41" s="150"/>
      <c r="E41" s="146">
        <v>300</v>
      </c>
      <c r="F41" s="149"/>
      <c r="G41" s="146"/>
      <c r="H41" s="145">
        <f t="shared" si="1"/>
        <v>7.0000000000000007E-2</v>
      </c>
      <c r="I41" s="28"/>
    </row>
    <row r="42" spans="2:13" ht="30" customHeight="1" x14ac:dyDescent="0.25">
      <c r="C42" s="151" t="s">
        <v>73</v>
      </c>
      <c r="D42" s="156"/>
      <c r="E42" s="146">
        <v>300</v>
      </c>
      <c r="F42" s="149"/>
      <c r="G42" s="146"/>
      <c r="H42" s="145">
        <f t="shared" si="1"/>
        <v>7.0000000000000007E-2</v>
      </c>
      <c r="I42" s="28"/>
    </row>
    <row r="43" spans="2:13" ht="30" customHeight="1" x14ac:dyDescent="0.25">
      <c r="E43" s="66"/>
      <c r="F43" s="25"/>
      <c r="G43" s="63"/>
      <c r="H43" s="28"/>
      <c r="I43" s="28"/>
      <c r="K43" s="63"/>
      <c r="L43" s="70"/>
      <c r="M43" s="70"/>
    </row>
    <row r="44" spans="2:13" ht="30" customHeight="1" x14ac:dyDescent="0.25">
      <c r="B44" s="325" t="s">
        <v>476</v>
      </c>
      <c r="C44" s="325"/>
      <c r="D44" s="325"/>
      <c r="E44" s="325"/>
      <c r="F44" s="325"/>
      <c r="G44" s="325"/>
      <c r="H44" s="325"/>
      <c r="I44" s="325"/>
      <c r="K44" s="63"/>
      <c r="L44" s="70"/>
      <c r="M44" s="70"/>
    </row>
    <row r="45" spans="2:13" ht="50.1" customHeight="1" x14ac:dyDescent="0.25">
      <c r="B45" s="285" t="s">
        <v>477</v>
      </c>
      <c r="C45" s="285"/>
      <c r="D45" s="285"/>
      <c r="E45" s="285"/>
      <c r="F45" s="285"/>
      <c r="G45" s="285"/>
      <c r="H45" s="285"/>
      <c r="I45" s="285"/>
      <c r="K45" s="63"/>
      <c r="L45" s="70"/>
      <c r="M45" s="70"/>
    </row>
    <row r="46" spans="2:13" ht="20.100000000000001" customHeight="1" x14ac:dyDescent="0.25">
      <c r="B46" s="64"/>
      <c r="C46" s="65"/>
      <c r="D46" s="65"/>
      <c r="E46" s="65"/>
      <c r="F46" s="65"/>
      <c r="G46" s="65"/>
      <c r="H46" s="65"/>
      <c r="I46" s="64"/>
      <c r="K46" s="63"/>
      <c r="L46" s="70"/>
      <c r="M46" s="70"/>
    </row>
    <row r="47" spans="2:13" ht="30" customHeight="1" x14ac:dyDescent="0.25">
      <c r="C47" s="54" t="s">
        <v>143</v>
      </c>
      <c r="D47" s="55" t="s">
        <v>416</v>
      </c>
      <c r="E47" s="55" t="s">
        <v>131</v>
      </c>
      <c r="F47" s="55" t="s">
        <v>89</v>
      </c>
      <c r="G47" s="55" t="s">
        <v>140</v>
      </c>
      <c r="H47" s="55" t="s">
        <v>55</v>
      </c>
      <c r="I47" s="68"/>
    </row>
    <row r="48" spans="2:13" ht="30" customHeight="1" x14ac:dyDescent="0.25">
      <c r="C48" s="136" t="s">
        <v>441</v>
      </c>
      <c r="D48" s="146"/>
      <c r="E48" s="146">
        <v>300</v>
      </c>
      <c r="F48" s="149"/>
      <c r="G48" s="88">
        <v>3200</v>
      </c>
      <c r="H48" s="190">
        <f>IF(F48="Fossilfritt", 0.01, 0.07)</f>
        <v>7.0000000000000007E-2</v>
      </c>
      <c r="I48" s="28"/>
    </row>
    <row r="49" spans="2:14" ht="30" customHeight="1" x14ac:dyDescent="0.25">
      <c r="C49" s="151" t="s">
        <v>73</v>
      </c>
      <c r="D49" s="146"/>
      <c r="E49" s="146">
        <v>300</v>
      </c>
      <c r="F49" s="149"/>
      <c r="G49" s="156"/>
      <c r="H49" s="190">
        <f t="shared" ref="H49:H50" si="2">IF(F49="Fossilfritt", 0.01, 0.07)</f>
        <v>7.0000000000000007E-2</v>
      </c>
      <c r="I49" s="28"/>
    </row>
    <row r="50" spans="2:14" ht="30" customHeight="1" x14ac:dyDescent="0.25">
      <c r="C50" s="151" t="s">
        <v>73</v>
      </c>
      <c r="D50" s="146"/>
      <c r="E50" s="146">
        <v>300</v>
      </c>
      <c r="F50" s="149"/>
      <c r="G50" s="156"/>
      <c r="H50" s="190">
        <f t="shared" si="2"/>
        <v>7.0000000000000007E-2</v>
      </c>
      <c r="I50" s="28"/>
    </row>
    <row r="51" spans="2:14" ht="30" customHeight="1" x14ac:dyDescent="0.25">
      <c r="B51" s="90"/>
      <c r="C51" s="28"/>
      <c r="D51" s="28"/>
      <c r="F51" s="66"/>
      <c r="G51" s="93"/>
      <c r="H51" s="28"/>
      <c r="I51" s="28"/>
      <c r="L51" s="70"/>
      <c r="M51" s="70"/>
      <c r="N51" s="70"/>
    </row>
    <row r="52" spans="2:14" ht="30" customHeight="1" x14ac:dyDescent="0.25">
      <c r="B52" s="268" t="s">
        <v>478</v>
      </c>
      <c r="C52" s="268"/>
      <c r="D52" s="268"/>
      <c r="E52" s="268"/>
      <c r="F52" s="268"/>
      <c r="G52" s="268"/>
      <c r="H52" s="268"/>
      <c r="I52" s="268"/>
    </row>
    <row r="53" spans="2:14" ht="60" customHeight="1" x14ac:dyDescent="0.25">
      <c r="B53" s="269" t="s">
        <v>479</v>
      </c>
      <c r="C53" s="269"/>
      <c r="D53" s="269"/>
      <c r="E53" s="269"/>
      <c r="F53" s="269"/>
      <c r="G53" s="269"/>
      <c r="H53" s="269"/>
      <c r="I53" s="269"/>
    </row>
    <row r="54" spans="2:14" ht="30" customHeight="1" x14ac:dyDescent="0.25">
      <c r="B54" s="64"/>
      <c r="C54" s="64"/>
      <c r="D54" s="64"/>
      <c r="E54" s="64"/>
      <c r="F54" s="64"/>
      <c r="G54" s="64"/>
      <c r="H54" s="64"/>
      <c r="I54" s="64"/>
    </row>
    <row r="55" spans="2:14" ht="35.1" customHeight="1" x14ac:dyDescent="0.25">
      <c r="B55" s="64"/>
      <c r="C55" s="64"/>
      <c r="D55" s="54" t="s">
        <v>414</v>
      </c>
      <c r="E55" s="55" t="s">
        <v>401</v>
      </c>
      <c r="F55" s="55" t="s">
        <v>404</v>
      </c>
      <c r="G55" s="64"/>
      <c r="H55" s="64"/>
      <c r="I55" s="64"/>
    </row>
    <row r="56" spans="2:14" ht="30" customHeight="1" x14ac:dyDescent="0.25">
      <c r="B56" s="64"/>
      <c r="C56" s="64"/>
      <c r="D56" s="58" t="s">
        <v>402</v>
      </c>
      <c r="E56" s="155"/>
      <c r="F56" s="224"/>
      <c r="G56" s="64"/>
      <c r="H56" s="64"/>
      <c r="I56" s="64"/>
    </row>
    <row r="57" spans="2:14" ht="30" customHeight="1" x14ac:dyDescent="0.25">
      <c r="B57" s="64"/>
      <c r="C57" s="64"/>
      <c r="D57" s="324" t="s">
        <v>403</v>
      </c>
      <c r="E57" s="324"/>
      <c r="F57" s="324"/>
      <c r="G57" s="64"/>
      <c r="H57" s="64"/>
      <c r="I57" s="64"/>
    </row>
    <row r="58" spans="2:14" ht="30" customHeight="1" x14ac:dyDescent="0.25">
      <c r="B58" s="64"/>
      <c r="C58" s="65"/>
      <c r="D58" s="65"/>
      <c r="E58" s="65"/>
      <c r="F58" s="65"/>
      <c r="G58" s="65"/>
      <c r="H58" s="65"/>
      <c r="I58" s="64"/>
    </row>
    <row r="59" spans="2:14" ht="30" customHeight="1" x14ac:dyDescent="0.25">
      <c r="C59" s="54" t="s">
        <v>145</v>
      </c>
      <c r="D59" s="55" t="s">
        <v>416</v>
      </c>
      <c r="E59" s="55" t="s">
        <v>131</v>
      </c>
      <c r="F59" s="55" t="s">
        <v>89</v>
      </c>
      <c r="G59" s="55" t="s">
        <v>140</v>
      </c>
      <c r="H59" s="55" t="s">
        <v>55</v>
      </c>
      <c r="I59" s="68"/>
    </row>
    <row r="60" spans="2:14" ht="30" customHeight="1" x14ac:dyDescent="0.25">
      <c r="C60" s="136" t="s">
        <v>149</v>
      </c>
      <c r="D60" s="146"/>
      <c r="E60" s="146">
        <v>300</v>
      </c>
      <c r="F60" s="149"/>
      <c r="G60" s="230">
        <v>7000</v>
      </c>
      <c r="H60" s="145">
        <f>IF(F60="Fossilfritt", 0.01, 0.07)</f>
        <v>7.0000000000000007E-2</v>
      </c>
      <c r="I60" s="68"/>
    </row>
    <row r="61" spans="2:14" ht="30" customHeight="1" x14ac:dyDescent="0.25">
      <c r="C61" s="132" t="s">
        <v>313</v>
      </c>
      <c r="D61" s="146"/>
      <c r="E61" s="146">
        <v>300</v>
      </c>
      <c r="F61" s="149"/>
      <c r="G61" s="230">
        <v>2000</v>
      </c>
      <c r="H61" s="145">
        <f t="shared" ref="H61:H84" si="3">IF(F61="Fossilfritt", 0.01, 0.07)</f>
        <v>7.0000000000000007E-2</v>
      </c>
      <c r="I61" s="68"/>
    </row>
    <row r="62" spans="2:14" ht="30" customHeight="1" x14ac:dyDescent="0.25">
      <c r="C62" s="132" t="s">
        <v>91</v>
      </c>
      <c r="D62" s="155"/>
      <c r="E62" s="146">
        <v>300</v>
      </c>
      <c r="F62" s="149"/>
      <c r="G62" s="88">
        <v>6</v>
      </c>
      <c r="H62" s="145">
        <f t="shared" si="3"/>
        <v>7.0000000000000007E-2</v>
      </c>
      <c r="I62" s="68"/>
    </row>
    <row r="63" spans="2:14" ht="30" customHeight="1" x14ac:dyDescent="0.25">
      <c r="C63" s="136" t="s">
        <v>146</v>
      </c>
      <c r="D63" s="146"/>
      <c r="E63" s="146">
        <v>300</v>
      </c>
      <c r="F63" s="149"/>
      <c r="G63" s="88">
        <v>1200</v>
      </c>
      <c r="H63" s="145">
        <f t="shared" si="3"/>
        <v>7.0000000000000007E-2</v>
      </c>
      <c r="I63" s="68"/>
    </row>
    <row r="64" spans="2:14" ht="30" customHeight="1" x14ac:dyDescent="0.25">
      <c r="C64" s="136" t="s">
        <v>310</v>
      </c>
      <c r="D64" s="146"/>
      <c r="E64" s="146">
        <v>300</v>
      </c>
      <c r="F64" s="149"/>
      <c r="G64" s="88">
        <v>900</v>
      </c>
      <c r="H64" s="145">
        <f t="shared" si="3"/>
        <v>7.0000000000000007E-2</v>
      </c>
      <c r="I64" s="28"/>
    </row>
    <row r="65" spans="3:9" ht="30" customHeight="1" x14ac:dyDescent="0.25">
      <c r="C65" s="136" t="s">
        <v>147</v>
      </c>
      <c r="D65" s="146"/>
      <c r="E65" s="146">
        <v>300</v>
      </c>
      <c r="F65" s="149"/>
      <c r="G65" s="230">
        <v>44</v>
      </c>
      <c r="H65" s="145">
        <f t="shared" si="3"/>
        <v>7.0000000000000007E-2</v>
      </c>
      <c r="I65" s="28"/>
    </row>
    <row r="66" spans="3:9" ht="30" customHeight="1" x14ac:dyDescent="0.25">
      <c r="C66" s="136" t="s">
        <v>444</v>
      </c>
      <c r="D66" s="146"/>
      <c r="E66" s="146">
        <v>300</v>
      </c>
      <c r="F66" s="149"/>
      <c r="G66" s="230">
        <v>330</v>
      </c>
      <c r="H66" s="145">
        <f t="shared" si="3"/>
        <v>7.0000000000000007E-2</v>
      </c>
      <c r="I66" s="28"/>
    </row>
    <row r="67" spans="3:9" ht="30" customHeight="1" x14ac:dyDescent="0.25">
      <c r="C67" s="136" t="s">
        <v>148</v>
      </c>
      <c r="D67" s="146"/>
      <c r="E67" s="146">
        <v>300</v>
      </c>
      <c r="F67" s="149"/>
      <c r="G67" s="230">
        <v>710</v>
      </c>
      <c r="H67" s="145">
        <f t="shared" si="3"/>
        <v>7.0000000000000007E-2</v>
      </c>
      <c r="I67" s="28"/>
    </row>
    <row r="68" spans="3:9" ht="30" customHeight="1" x14ac:dyDescent="0.25">
      <c r="C68" s="229" t="s">
        <v>427</v>
      </c>
      <c r="D68" s="146"/>
      <c r="E68" s="146">
        <v>300</v>
      </c>
      <c r="F68" s="149"/>
      <c r="G68" s="230">
        <v>320</v>
      </c>
      <c r="H68" s="145">
        <f t="shared" si="3"/>
        <v>7.0000000000000007E-2</v>
      </c>
      <c r="I68" s="28"/>
    </row>
    <row r="69" spans="3:9" ht="30" customHeight="1" x14ac:dyDescent="0.25">
      <c r="C69" s="136" t="s">
        <v>464</v>
      </c>
      <c r="D69" s="146"/>
      <c r="E69" s="146">
        <v>300</v>
      </c>
      <c r="F69" s="149"/>
      <c r="G69" s="88">
        <v>530</v>
      </c>
      <c r="H69" s="145">
        <f t="shared" si="3"/>
        <v>7.0000000000000007E-2</v>
      </c>
      <c r="I69" s="28"/>
    </row>
    <row r="70" spans="3:9" ht="30" customHeight="1" x14ac:dyDescent="0.25">
      <c r="C70" s="136" t="s">
        <v>150</v>
      </c>
      <c r="D70" s="146"/>
      <c r="E70" s="146">
        <v>300</v>
      </c>
      <c r="F70" s="149"/>
      <c r="G70" s="88">
        <v>200</v>
      </c>
      <c r="H70" s="145">
        <f t="shared" si="3"/>
        <v>7.0000000000000007E-2</v>
      </c>
      <c r="I70" s="28"/>
    </row>
    <row r="71" spans="3:9" ht="30" customHeight="1" x14ac:dyDescent="0.25">
      <c r="C71" s="229" t="s">
        <v>499</v>
      </c>
      <c r="D71" s="146"/>
      <c r="E71" s="146">
        <v>300</v>
      </c>
      <c r="F71" s="149"/>
      <c r="G71" s="230">
        <v>120</v>
      </c>
      <c r="H71" s="145">
        <f t="shared" si="3"/>
        <v>7.0000000000000007E-2</v>
      </c>
      <c r="I71" s="28"/>
    </row>
    <row r="72" spans="3:9" ht="30" customHeight="1" x14ac:dyDescent="0.25">
      <c r="C72" s="136" t="s">
        <v>430</v>
      </c>
      <c r="D72" s="146"/>
      <c r="E72" s="146">
        <v>300</v>
      </c>
      <c r="F72" s="149"/>
      <c r="G72" s="230">
        <v>450</v>
      </c>
      <c r="H72" s="145">
        <f t="shared" si="3"/>
        <v>7.0000000000000007E-2</v>
      </c>
      <c r="I72" s="28"/>
    </row>
    <row r="73" spans="3:9" ht="30" customHeight="1" x14ac:dyDescent="0.25">
      <c r="C73" s="136" t="s">
        <v>151</v>
      </c>
      <c r="D73" s="146"/>
      <c r="E73" s="146">
        <v>300</v>
      </c>
      <c r="F73" s="149"/>
      <c r="G73" s="88">
        <v>600</v>
      </c>
      <c r="H73" s="145">
        <f t="shared" si="3"/>
        <v>7.0000000000000007E-2</v>
      </c>
      <c r="I73" s="28"/>
    </row>
    <row r="74" spans="3:9" ht="30" customHeight="1" x14ac:dyDescent="0.25">
      <c r="C74" s="136" t="s">
        <v>152</v>
      </c>
      <c r="D74" s="146"/>
      <c r="E74" s="146">
        <v>300</v>
      </c>
      <c r="F74" s="149"/>
      <c r="G74" s="88">
        <v>100</v>
      </c>
      <c r="H74" s="145">
        <f t="shared" si="3"/>
        <v>7.0000000000000007E-2</v>
      </c>
      <c r="I74" s="28"/>
    </row>
    <row r="75" spans="3:9" ht="30" customHeight="1" x14ac:dyDescent="0.25">
      <c r="C75" s="136" t="s">
        <v>153</v>
      </c>
      <c r="D75" s="146"/>
      <c r="E75" s="146">
        <v>300</v>
      </c>
      <c r="F75" s="149"/>
      <c r="G75" s="88">
        <v>960</v>
      </c>
      <c r="H75" s="145">
        <f t="shared" si="3"/>
        <v>7.0000000000000007E-2</v>
      </c>
      <c r="I75" s="28"/>
    </row>
    <row r="76" spans="3:9" ht="30" customHeight="1" x14ac:dyDescent="0.25">
      <c r="C76" s="136" t="s">
        <v>154</v>
      </c>
      <c r="D76" s="146"/>
      <c r="E76" s="146">
        <v>300</v>
      </c>
      <c r="F76" s="149"/>
      <c r="G76" s="88">
        <v>1400</v>
      </c>
      <c r="H76" s="145">
        <f t="shared" si="3"/>
        <v>7.0000000000000007E-2</v>
      </c>
      <c r="I76" s="28"/>
    </row>
    <row r="77" spans="3:9" ht="30" customHeight="1" x14ac:dyDescent="0.25">
      <c r="C77" s="136" t="s">
        <v>155</v>
      </c>
      <c r="D77" s="146"/>
      <c r="E77" s="146">
        <v>300</v>
      </c>
      <c r="F77" s="149"/>
      <c r="G77" s="88">
        <v>620</v>
      </c>
      <c r="H77" s="145">
        <f t="shared" si="3"/>
        <v>7.0000000000000007E-2</v>
      </c>
      <c r="I77" s="28"/>
    </row>
    <row r="78" spans="3:9" ht="30" customHeight="1" x14ac:dyDescent="0.25">
      <c r="C78" s="136" t="s">
        <v>156</v>
      </c>
      <c r="D78" s="146"/>
      <c r="E78" s="146">
        <v>300</v>
      </c>
      <c r="F78" s="149"/>
      <c r="G78" s="88">
        <v>1100</v>
      </c>
      <c r="H78" s="145">
        <f t="shared" si="3"/>
        <v>7.0000000000000007E-2</v>
      </c>
      <c r="I78" s="28"/>
    </row>
    <row r="79" spans="3:9" ht="30" customHeight="1" x14ac:dyDescent="0.25">
      <c r="C79" s="136" t="s">
        <v>157</v>
      </c>
      <c r="D79" s="146"/>
      <c r="E79" s="146">
        <v>300</v>
      </c>
      <c r="F79" s="149"/>
      <c r="G79" s="88">
        <v>2700</v>
      </c>
      <c r="H79" s="145">
        <f t="shared" si="3"/>
        <v>7.0000000000000007E-2</v>
      </c>
      <c r="I79" s="28"/>
    </row>
    <row r="80" spans="3:9" ht="30" customHeight="1" x14ac:dyDescent="0.25">
      <c r="C80" s="136" t="s">
        <v>314</v>
      </c>
      <c r="D80" s="146"/>
      <c r="E80" s="146">
        <v>300</v>
      </c>
      <c r="F80" s="149"/>
      <c r="G80" s="88">
        <v>1600</v>
      </c>
      <c r="H80" s="145">
        <f t="shared" si="3"/>
        <v>7.0000000000000007E-2</v>
      </c>
      <c r="I80" s="28"/>
    </row>
    <row r="81" spans="2:13" ht="30" customHeight="1" x14ac:dyDescent="0.25">
      <c r="C81" s="151" t="s">
        <v>73</v>
      </c>
      <c r="D81" s="146"/>
      <c r="E81" s="146">
        <v>300</v>
      </c>
      <c r="F81" s="149"/>
      <c r="G81" s="156"/>
      <c r="H81" s="145">
        <f t="shared" si="3"/>
        <v>7.0000000000000007E-2</v>
      </c>
      <c r="I81" s="28"/>
    </row>
    <row r="82" spans="2:13" ht="30" customHeight="1" x14ac:dyDescent="0.25">
      <c r="C82" s="151" t="s">
        <v>73</v>
      </c>
      <c r="D82" s="146"/>
      <c r="E82" s="146">
        <v>300</v>
      </c>
      <c r="F82" s="149"/>
      <c r="G82" s="156"/>
      <c r="H82" s="145">
        <f t="shared" si="3"/>
        <v>7.0000000000000007E-2</v>
      </c>
      <c r="I82" s="28"/>
    </row>
    <row r="83" spans="2:13" ht="30" customHeight="1" x14ac:dyDescent="0.25">
      <c r="C83" s="151" t="s">
        <v>73</v>
      </c>
      <c r="D83" s="146"/>
      <c r="E83" s="146">
        <v>300</v>
      </c>
      <c r="F83" s="149"/>
      <c r="G83" s="156"/>
      <c r="H83" s="145">
        <f t="shared" si="3"/>
        <v>7.0000000000000007E-2</v>
      </c>
      <c r="I83" s="28"/>
    </row>
    <row r="84" spans="2:13" ht="30" customHeight="1" x14ac:dyDescent="0.25">
      <c r="C84" s="151" t="s">
        <v>73</v>
      </c>
      <c r="D84" s="146"/>
      <c r="E84" s="146">
        <v>300</v>
      </c>
      <c r="F84" s="149"/>
      <c r="G84" s="156"/>
      <c r="H84" s="145">
        <f t="shared" si="3"/>
        <v>7.0000000000000007E-2</v>
      </c>
      <c r="I84" s="28"/>
    </row>
    <row r="85" spans="2:13" ht="30" customHeight="1" x14ac:dyDescent="0.25">
      <c r="I85" s="28"/>
    </row>
    <row r="86" spans="2:13" ht="30" customHeight="1" x14ac:dyDescent="0.25">
      <c r="I86" s="28"/>
    </row>
    <row r="87" spans="2:13" ht="30" customHeight="1" x14ac:dyDescent="0.25">
      <c r="B87" s="90"/>
      <c r="C87" s="28"/>
      <c r="D87" s="28"/>
      <c r="F87" s="66"/>
      <c r="G87" s="93"/>
      <c r="H87" s="28"/>
      <c r="I87" s="28"/>
      <c r="K87" s="63"/>
      <c r="L87" s="70"/>
      <c r="M87" s="70"/>
    </row>
    <row r="88" spans="2:13" ht="30" hidden="1" customHeight="1" x14ac:dyDescent="0.25">
      <c r="B88" s="90"/>
      <c r="C88" s="91"/>
      <c r="D88" s="91"/>
      <c r="E88" s="92"/>
      <c r="F88" s="70"/>
      <c r="G88" s="93"/>
      <c r="H88" s="28"/>
      <c r="I88" s="28"/>
      <c r="K88" s="63" t="e">
        <f>'Lägg in data här för kemikalier'!#REF!</f>
        <v>#REF!</v>
      </c>
      <c r="L88" s="70" t="e">
        <f>'Lägg in data här för kemikalier'!#REF!*'Lägg in data här för kemikalier'!#REF!</f>
        <v>#REF!</v>
      </c>
      <c r="M88" s="70" t="e">
        <f>'Lägg in data här för kemikalier'!#REF!*'Lägg in data här för kemikalier'!#REF!</f>
        <v>#REF!</v>
      </c>
    </row>
    <row r="89" spans="2:13" ht="30" hidden="1" customHeight="1" x14ac:dyDescent="0.25">
      <c r="B89" s="90"/>
      <c r="C89" s="91"/>
      <c r="D89" s="91"/>
      <c r="E89" s="92"/>
      <c r="F89" s="70"/>
      <c r="G89" s="93"/>
      <c r="H89" s="28"/>
      <c r="I89" s="28"/>
      <c r="K89" s="63" t="e">
        <f>'Lägg in data här för kemikalier'!#REF!</f>
        <v>#REF!</v>
      </c>
      <c r="L89" s="70" t="e">
        <f>'Lägg in data här för kemikalier'!#REF!*'Lägg in data här för kemikalier'!#REF!</f>
        <v>#REF!</v>
      </c>
      <c r="M89" s="70" t="e">
        <f>'Lägg in data här för kemikalier'!#REF!*'Lägg in data här för kemikalier'!#REF!</f>
        <v>#REF!</v>
      </c>
    </row>
    <row r="90" spans="2:13" ht="30" hidden="1" customHeight="1" x14ac:dyDescent="0.25">
      <c r="B90" s="90"/>
      <c r="C90" s="91"/>
      <c r="D90" s="91"/>
      <c r="E90" s="92"/>
      <c r="F90" s="70"/>
      <c r="G90" s="93"/>
      <c r="H90" s="28"/>
      <c r="I90" s="28"/>
      <c r="K90" s="63" t="e">
        <f>'Lägg in data här för kemikalier'!#REF!</f>
        <v>#REF!</v>
      </c>
      <c r="L90" s="70" t="e">
        <f>'Lägg in data här för kemikalier'!#REF!*'Lägg in data här för kemikalier'!#REF!</f>
        <v>#REF!</v>
      </c>
      <c r="M90" s="70" t="e">
        <f>'Lägg in data här för kemikalier'!#REF!*'Lägg in data här för kemikalier'!#REF!</f>
        <v>#REF!</v>
      </c>
    </row>
    <row r="91" spans="2:13" ht="30" hidden="1" customHeight="1" x14ac:dyDescent="0.25">
      <c r="B91" s="90"/>
      <c r="C91" s="91"/>
      <c r="D91" s="91"/>
      <c r="E91" s="92"/>
      <c r="F91" s="70"/>
      <c r="G91" s="93"/>
      <c r="H91" s="28"/>
      <c r="I91" s="28"/>
      <c r="K91" s="63" t="e">
        <f>'Lägg in data här för kemikalier'!#REF!</f>
        <v>#REF!</v>
      </c>
      <c r="L91" s="70" t="e">
        <f>'Lägg in data här för kemikalier'!#REF!*'Lägg in data här för kemikalier'!#REF!</f>
        <v>#REF!</v>
      </c>
      <c r="M91" s="70" t="e">
        <f>'Lägg in data här för kemikalier'!#REF!*'Lägg in data här för kemikalier'!#REF!</f>
        <v>#REF!</v>
      </c>
    </row>
    <row r="92" spans="2:13" ht="30" hidden="1" customHeight="1" x14ac:dyDescent="0.25">
      <c r="B92" s="90"/>
      <c r="C92" s="91"/>
      <c r="D92" s="91"/>
      <c r="E92" s="92"/>
      <c r="F92" s="70"/>
      <c r="G92" s="93"/>
      <c r="H92" s="28"/>
      <c r="I92" s="28"/>
      <c r="K92" s="63" t="str">
        <f>'Lägg in data här för kemikalier'!C41</f>
        <v>Annan</v>
      </c>
      <c r="L92" s="70">
        <f>'Lägg in data här för kemikalier'!D41*'Lägg in data här för kemikalier'!G41</f>
        <v>0</v>
      </c>
      <c r="M92" s="70" t="e">
        <f>'Lägg in data här för kemikalier'!#REF!*'Lägg in data här för kemikalier'!H41</f>
        <v>#REF!</v>
      </c>
    </row>
    <row r="93" spans="2:13" ht="30" hidden="1" customHeight="1" x14ac:dyDescent="0.25">
      <c r="B93" s="90"/>
      <c r="C93" s="91"/>
      <c r="D93" s="91"/>
      <c r="E93" s="92"/>
      <c r="F93" s="70"/>
      <c r="G93" s="93"/>
      <c r="H93" s="28"/>
      <c r="I93" s="28"/>
    </row>
    <row r="94" spans="2:13" ht="30" hidden="1" customHeight="1" x14ac:dyDescent="0.25">
      <c r="B94" s="90"/>
      <c r="C94" s="91"/>
      <c r="D94" s="91"/>
      <c r="E94" s="92"/>
      <c r="F94" s="70"/>
      <c r="G94" s="93"/>
      <c r="H94" s="28"/>
      <c r="I94" s="28"/>
    </row>
    <row r="95" spans="2:13" ht="30" hidden="1" customHeight="1" x14ac:dyDescent="0.25">
      <c r="B95" s="90"/>
      <c r="C95" s="91"/>
      <c r="D95" s="91"/>
      <c r="E95" s="92"/>
      <c r="F95" s="70"/>
      <c r="G95" s="93"/>
      <c r="H95" s="28"/>
      <c r="I95" s="28"/>
    </row>
    <row r="96" spans="2:13" ht="30" hidden="1" customHeight="1" x14ac:dyDescent="0.25">
      <c r="B96" s="90"/>
      <c r="C96" s="91"/>
      <c r="D96" s="91"/>
      <c r="E96" s="92"/>
      <c r="F96" s="70"/>
      <c r="G96" s="93"/>
      <c r="H96" s="28"/>
      <c r="I96" s="28"/>
    </row>
    <row r="97" spans="2:9" ht="30" hidden="1" customHeight="1" x14ac:dyDescent="0.25">
      <c r="B97" s="90"/>
      <c r="C97" s="91"/>
      <c r="D97" s="91"/>
      <c r="E97" s="92"/>
      <c r="F97" s="70"/>
      <c r="G97" s="93"/>
      <c r="H97" s="28"/>
      <c r="I97" s="28"/>
    </row>
    <row r="98" spans="2:9" ht="30" hidden="1" customHeight="1" x14ac:dyDescent="0.25">
      <c r="B98" s="90"/>
      <c r="C98" s="91"/>
      <c r="D98" s="91"/>
      <c r="E98" s="92"/>
      <c r="F98" s="70"/>
      <c r="G98" s="93"/>
      <c r="H98" s="28"/>
      <c r="I98" s="28"/>
    </row>
    <row r="99" spans="2:9" ht="30" hidden="1" customHeight="1" x14ac:dyDescent="0.25">
      <c r="B99" s="90"/>
      <c r="C99" s="91"/>
      <c r="D99" s="91"/>
      <c r="E99" s="92"/>
      <c r="F99" s="70"/>
      <c r="G99" s="93"/>
      <c r="H99" s="28"/>
      <c r="I99" s="28"/>
    </row>
    <row r="100" spans="2:9" ht="30" hidden="1" customHeight="1" x14ac:dyDescent="0.25">
      <c r="E100" s="25"/>
      <c r="F100" s="25"/>
      <c r="G100" s="63"/>
      <c r="H100" s="28"/>
      <c r="I100" s="28"/>
    </row>
    <row r="101" spans="2:9" ht="15" hidden="1" customHeight="1" x14ac:dyDescent="0.25"/>
    <row r="102" spans="2:9" ht="15" hidden="1" customHeight="1" x14ac:dyDescent="0.25"/>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F10:F17 F48:F50 E88:E99 F86 F23:F42 F60:F84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5"/>
  <sheetViews>
    <sheetView showGridLines="0" topLeftCell="A2" zoomScale="90" zoomScaleNormal="90" workbookViewId="0">
      <selection activeCell="D38" sqref="D38"/>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82" t="s">
        <v>158</v>
      </c>
      <c r="C3" s="282"/>
      <c r="D3" s="282"/>
      <c r="E3" s="282"/>
      <c r="F3" s="282"/>
      <c r="G3" s="282"/>
      <c r="H3" s="282"/>
      <c r="I3" s="282"/>
    </row>
    <row r="4" spans="1:9" ht="33" customHeight="1" x14ac:dyDescent="0.25">
      <c r="B4" s="291" t="s">
        <v>159</v>
      </c>
      <c r="C4" s="291"/>
      <c r="D4" s="291"/>
      <c r="E4" s="291"/>
      <c r="F4" s="291"/>
      <c r="G4" s="291"/>
      <c r="H4" s="291"/>
      <c r="I4" s="291"/>
    </row>
    <row r="5" spans="1:9" ht="33" customHeight="1" x14ac:dyDescent="0.25">
      <c r="B5" s="78"/>
      <c r="C5" s="78"/>
      <c r="D5" s="78"/>
      <c r="E5" s="78"/>
      <c r="F5" s="78"/>
      <c r="G5" s="78"/>
      <c r="H5" s="78"/>
      <c r="I5" s="78"/>
    </row>
    <row r="6" spans="1:9" ht="33" customHeight="1" x14ac:dyDescent="0.25">
      <c r="B6" s="327" t="s">
        <v>160</v>
      </c>
      <c r="C6" s="327"/>
      <c r="D6" s="327"/>
      <c r="E6" s="327"/>
      <c r="F6" s="327"/>
      <c r="G6" s="327"/>
      <c r="H6" s="327"/>
      <c r="I6" s="327"/>
    </row>
    <row r="7" spans="1:9" ht="33" customHeight="1" x14ac:dyDescent="0.25">
      <c r="B7" s="78"/>
      <c r="C7" s="78"/>
      <c r="D7" s="78"/>
      <c r="E7" s="78"/>
      <c r="F7" s="78"/>
      <c r="G7" s="78"/>
      <c r="H7" s="78"/>
      <c r="I7" s="78"/>
    </row>
    <row r="8" spans="1:9" ht="45" customHeight="1" x14ac:dyDescent="0.25">
      <c r="B8" s="78"/>
      <c r="C8" s="117" t="s">
        <v>352</v>
      </c>
      <c r="D8" s="117" t="s">
        <v>353</v>
      </c>
      <c r="E8" s="117" t="s">
        <v>354</v>
      </c>
      <c r="F8" s="81" t="s">
        <v>355</v>
      </c>
      <c r="H8" s="81" t="s">
        <v>350</v>
      </c>
      <c r="I8" s="78"/>
    </row>
    <row r="9" spans="1:9" ht="33" customHeight="1" x14ac:dyDescent="0.25">
      <c r="B9" s="78"/>
      <c r="C9" s="180">
        <f>SUM(D9:F9)</f>
        <v>0</v>
      </c>
      <c r="D9" s="180">
        <f>(SUM(H15:H19))/1000</f>
        <v>0</v>
      </c>
      <c r="E9" s="180">
        <f>(SUM(H26:H29)+H32)/1000</f>
        <v>0</v>
      </c>
      <c r="F9" s="115">
        <f>(SUM(H38:H39))/1000</f>
        <v>0</v>
      </c>
      <c r="H9" s="115" t="str">
        <f>IFERROR((ABS(C9)/'Resultatpresentation i tabell'!K14)*100,"Lägg in data i indataflikarna")</f>
        <v>Lägg in data i indataflikarna</v>
      </c>
      <c r="I9" s="78"/>
    </row>
    <row r="10" spans="1:9" ht="33" customHeight="1" x14ac:dyDescent="0.25">
      <c r="B10" s="66"/>
      <c r="C10" s="66"/>
      <c r="D10" s="66"/>
      <c r="E10" s="66"/>
      <c r="F10" s="66"/>
      <c r="G10" s="66"/>
      <c r="H10" s="66"/>
      <c r="I10" s="66"/>
    </row>
    <row r="11" spans="1:9" ht="33" customHeight="1" x14ac:dyDescent="0.25">
      <c r="B11" s="268" t="s">
        <v>351</v>
      </c>
      <c r="C11" s="268"/>
      <c r="D11" s="268"/>
      <c r="E11" s="268"/>
      <c r="F11" s="268"/>
      <c r="G11" s="268"/>
      <c r="H11" s="268"/>
      <c r="I11" s="268"/>
    </row>
    <row r="12" spans="1:9" ht="33" customHeight="1" x14ac:dyDescent="0.25">
      <c r="A12" s="23"/>
      <c r="B12" s="285" t="s">
        <v>400</v>
      </c>
      <c r="C12" s="285"/>
      <c r="D12" s="285"/>
      <c r="E12" s="285"/>
      <c r="F12" s="285"/>
      <c r="G12" s="285"/>
      <c r="H12" s="285"/>
      <c r="I12" s="285"/>
    </row>
    <row r="13" spans="1:9" ht="30" customHeight="1" x14ac:dyDescent="0.25">
      <c r="B13" s="64"/>
      <c r="C13" s="64"/>
      <c r="D13" s="64"/>
      <c r="E13" s="53"/>
      <c r="F13" s="53"/>
      <c r="G13" s="64"/>
      <c r="H13" s="64"/>
      <c r="I13" s="64"/>
    </row>
    <row r="14" spans="1:9" ht="60" customHeight="1" x14ac:dyDescent="0.25">
      <c r="C14" s="116" t="s">
        <v>161</v>
      </c>
      <c r="D14" s="77" t="s">
        <v>359</v>
      </c>
      <c r="E14" s="118" t="s">
        <v>360</v>
      </c>
      <c r="F14" s="55" t="s">
        <v>162</v>
      </c>
      <c r="G14" s="77" t="s">
        <v>163</v>
      </c>
      <c r="H14" s="55" t="s">
        <v>164</v>
      </c>
    </row>
    <row r="15" spans="1:9" ht="30" customHeight="1" x14ac:dyDescent="0.25">
      <c r="C15" s="142" t="s">
        <v>358</v>
      </c>
      <c r="D15" s="156"/>
      <c r="E15" s="169">
        <v>338</v>
      </c>
      <c r="F15" s="111" t="s">
        <v>445</v>
      </c>
      <c r="G15" s="140">
        <v>1</v>
      </c>
      <c r="H15" s="88">
        <f>-D15*E15*G15</f>
        <v>0</v>
      </c>
      <c r="I15" s="106"/>
    </row>
    <row r="16" spans="1:9" ht="30" customHeight="1" x14ac:dyDescent="0.25">
      <c r="C16" s="142" t="s">
        <v>165</v>
      </c>
      <c r="D16" s="156"/>
      <c r="E16" s="169">
        <f>'Lägg in data här'!G14</f>
        <v>468</v>
      </c>
      <c r="F16" s="111" t="s">
        <v>166</v>
      </c>
      <c r="G16" s="140">
        <v>1</v>
      </c>
      <c r="H16" s="88">
        <f>-D16*E16*G16</f>
        <v>0</v>
      </c>
      <c r="I16" s="326"/>
    </row>
    <row r="17" spans="2:13" ht="30" customHeight="1" x14ac:dyDescent="0.25">
      <c r="C17" s="142" t="s">
        <v>167</v>
      </c>
      <c r="D17" s="156"/>
      <c r="E17" s="153"/>
      <c r="F17" s="111" t="s">
        <v>168</v>
      </c>
      <c r="G17" s="140">
        <v>1</v>
      </c>
      <c r="H17" s="88">
        <f>-D17*E17*G17</f>
        <v>0</v>
      </c>
      <c r="I17" s="326"/>
    </row>
    <row r="18" spans="2:13" ht="30" customHeight="1" x14ac:dyDescent="0.25">
      <c r="C18" s="142" t="s">
        <v>361</v>
      </c>
      <c r="D18" s="88">
        <f>('Lägg in data här'!E57*(Referenser!C87)+'Lägg in data här'!E55*(Referenser!C88))/3600*Referenser!C89</f>
        <v>0</v>
      </c>
      <c r="E18" s="153"/>
      <c r="F18" s="111" t="s">
        <v>168</v>
      </c>
      <c r="G18" s="140">
        <v>1</v>
      </c>
      <c r="H18" s="88">
        <f>-D18*E18*G18</f>
        <v>0</v>
      </c>
      <c r="I18" s="326"/>
    </row>
    <row r="19" spans="2:13" ht="30" customHeight="1" x14ac:dyDescent="0.25">
      <c r="C19" s="154" t="s">
        <v>73</v>
      </c>
      <c r="D19" s="156"/>
      <c r="E19" s="177"/>
      <c r="F19" s="155"/>
      <c r="G19" s="152"/>
      <c r="H19" s="88">
        <f>-D19*E19*G19</f>
        <v>0</v>
      </c>
      <c r="I19" s="326"/>
    </row>
    <row r="20" spans="2:13" ht="30" customHeight="1" x14ac:dyDescent="0.25">
      <c r="C20" s="328" t="s">
        <v>387</v>
      </c>
      <c r="D20" s="329"/>
      <c r="E20" s="329"/>
      <c r="F20" s="329"/>
      <c r="G20" s="329"/>
      <c r="H20" s="329"/>
    </row>
    <row r="21" spans="2:13" ht="30" customHeight="1" x14ac:dyDescent="0.25">
      <c r="E21" s="25"/>
      <c r="F21" s="25"/>
      <c r="G21" s="63"/>
      <c r="H21" s="28"/>
      <c r="I21" s="28"/>
      <c r="K21" s="63"/>
      <c r="L21" s="70"/>
      <c r="M21" s="70"/>
    </row>
    <row r="22" spans="2:13" ht="30" customHeight="1" x14ac:dyDescent="0.25">
      <c r="B22" s="268" t="s">
        <v>169</v>
      </c>
      <c r="C22" s="268"/>
      <c r="D22" s="268"/>
      <c r="E22" s="268"/>
      <c r="F22" s="268"/>
      <c r="G22" s="268"/>
      <c r="H22" s="268"/>
      <c r="I22" s="268"/>
      <c r="K22" s="63"/>
      <c r="L22" s="70"/>
      <c r="M22" s="70"/>
    </row>
    <row r="23" spans="2:13" ht="30" customHeight="1" x14ac:dyDescent="0.25">
      <c r="B23" s="285" t="s">
        <v>388</v>
      </c>
      <c r="C23" s="285"/>
      <c r="D23" s="285"/>
      <c r="E23" s="285"/>
      <c r="F23" s="285"/>
      <c r="G23" s="285"/>
      <c r="H23" s="285"/>
      <c r="I23" s="285"/>
      <c r="K23" s="63"/>
      <c r="L23" s="70"/>
      <c r="M23" s="70"/>
    </row>
    <row r="24" spans="2:13" ht="30" customHeight="1" x14ac:dyDescent="0.25">
      <c r="B24" s="64"/>
      <c r="C24" s="65"/>
      <c r="D24" s="65"/>
      <c r="E24" s="65"/>
      <c r="F24" s="65"/>
      <c r="G24" s="65"/>
      <c r="H24" s="65"/>
      <c r="I24" s="64"/>
      <c r="K24" s="63"/>
      <c r="L24" s="70"/>
      <c r="M24" s="70"/>
    </row>
    <row r="25" spans="2:13" ht="60" customHeight="1" x14ac:dyDescent="0.25">
      <c r="C25" s="54" t="s">
        <v>161</v>
      </c>
      <c r="D25" s="55" t="s">
        <v>170</v>
      </c>
      <c r="E25" s="118" t="s">
        <v>171</v>
      </c>
      <c r="F25" s="55" t="s">
        <v>162</v>
      </c>
      <c r="G25" s="77" t="s">
        <v>163</v>
      </c>
      <c r="H25" s="55" t="s">
        <v>164</v>
      </c>
      <c r="I25" s="68"/>
    </row>
    <row r="26" spans="2:13" ht="30" customHeight="1" x14ac:dyDescent="0.25">
      <c r="C26" s="58" t="s">
        <v>98</v>
      </c>
      <c r="D26" s="246">
        <f>'Lägg in data här'!E59</f>
        <v>0</v>
      </c>
      <c r="E26" s="245">
        <v>1300</v>
      </c>
      <c r="F26" s="103" t="s">
        <v>172</v>
      </c>
      <c r="G26" s="119">
        <v>0.1</v>
      </c>
      <c r="H26" s="143">
        <f>-D26*E26*G26</f>
        <v>0</v>
      </c>
      <c r="I26" s="76" t="s">
        <v>173</v>
      </c>
    </row>
    <row r="27" spans="2:13" ht="30" customHeight="1" x14ac:dyDescent="0.25">
      <c r="C27" s="58" t="s">
        <v>174</v>
      </c>
      <c r="D27" s="146"/>
      <c r="E27" s="245">
        <v>4400</v>
      </c>
      <c r="F27" s="103" t="s">
        <v>175</v>
      </c>
      <c r="G27" s="119">
        <v>0.3</v>
      </c>
      <c r="H27" s="143">
        <f>-D27*E27*G27</f>
        <v>0</v>
      </c>
      <c r="I27" s="28"/>
    </row>
    <row r="28" spans="2:13" ht="30" customHeight="1" x14ac:dyDescent="0.25">
      <c r="C28" s="58" t="s">
        <v>176</v>
      </c>
      <c r="D28" s="146"/>
      <c r="E28" s="245">
        <v>640</v>
      </c>
      <c r="F28" s="103" t="s">
        <v>177</v>
      </c>
      <c r="G28" s="119">
        <v>0.7</v>
      </c>
      <c r="H28" s="143">
        <f>-D28*E28*G28</f>
        <v>0</v>
      </c>
      <c r="I28" s="28"/>
    </row>
    <row r="29" spans="2:13" ht="30" customHeight="1" x14ac:dyDescent="0.25">
      <c r="C29" s="148" t="s">
        <v>73</v>
      </c>
      <c r="D29" s="146"/>
      <c r="E29" s="156"/>
      <c r="F29" s="156"/>
      <c r="G29" s="156"/>
      <c r="H29" s="143">
        <f>-D29*E29*G29</f>
        <v>0</v>
      </c>
      <c r="I29" s="28"/>
    </row>
    <row r="30" spans="2:13" ht="30" customHeight="1" x14ac:dyDescent="0.25">
      <c r="I30" s="28"/>
    </row>
    <row r="31" spans="2:13" ht="60" customHeight="1" x14ac:dyDescent="0.25">
      <c r="C31" s="54" t="s">
        <v>161</v>
      </c>
      <c r="D31" s="79" t="s">
        <v>406</v>
      </c>
      <c r="E31" s="79" t="s">
        <v>407</v>
      </c>
      <c r="F31" s="55" t="s">
        <v>162</v>
      </c>
      <c r="G31" s="79" t="s">
        <v>363</v>
      </c>
      <c r="H31" s="55" t="s">
        <v>164</v>
      </c>
      <c r="I31" s="28"/>
    </row>
    <row r="32" spans="2:13" ht="45" customHeight="1" x14ac:dyDescent="0.25">
      <c r="C32" s="103" t="s">
        <v>362</v>
      </c>
      <c r="D32" s="174"/>
      <c r="E32" s="115">
        <f>'Lägg in data här'!E60+'Lägg in data här'!E59+'Lägg in data här'!E58</f>
        <v>0</v>
      </c>
      <c r="F32" s="103" t="s">
        <v>364</v>
      </c>
      <c r="G32" s="103">
        <v>0.35</v>
      </c>
      <c r="H32" s="115">
        <f>-E32*('Lägg in data här'!H88/100)*(D32/100)*G32*3.67*1000</f>
        <v>0</v>
      </c>
      <c r="I32" s="28"/>
    </row>
    <row r="33" spans="2:13" ht="30" customHeight="1" x14ac:dyDescent="0.25">
      <c r="I33" s="28"/>
    </row>
    <row r="34" spans="2:13" ht="30" customHeight="1" x14ac:dyDescent="0.25">
      <c r="B34" s="268" t="s">
        <v>178</v>
      </c>
      <c r="C34" s="268"/>
      <c r="D34" s="268"/>
      <c r="E34" s="268"/>
      <c r="F34" s="268"/>
      <c r="G34" s="268"/>
      <c r="H34" s="268"/>
      <c r="I34" s="268"/>
      <c r="K34" s="63"/>
      <c r="L34" s="70"/>
      <c r="M34" s="70"/>
    </row>
    <row r="35" spans="2:13" ht="30" customHeight="1" x14ac:dyDescent="0.25">
      <c r="B35" s="285" t="s">
        <v>179</v>
      </c>
      <c r="C35" s="285"/>
      <c r="D35" s="285"/>
      <c r="E35" s="285"/>
      <c r="F35" s="285"/>
      <c r="G35" s="285"/>
      <c r="H35" s="285"/>
      <c r="I35" s="285"/>
      <c r="K35" s="63"/>
      <c r="L35" s="70"/>
      <c r="M35" s="70"/>
    </row>
    <row r="36" spans="2:13" ht="30" customHeight="1" x14ac:dyDescent="0.25">
      <c r="B36" s="64"/>
      <c r="C36" s="65"/>
      <c r="D36" s="65"/>
      <c r="E36" s="65"/>
      <c r="F36" s="65"/>
      <c r="G36" s="65"/>
      <c r="H36" s="65"/>
      <c r="I36" s="64"/>
      <c r="K36" s="63"/>
      <c r="L36" s="70"/>
      <c r="M36" s="70"/>
    </row>
    <row r="37" spans="2:13" ht="60" customHeight="1" x14ac:dyDescent="0.25">
      <c r="C37" s="55" t="s">
        <v>180</v>
      </c>
      <c r="D37" s="55" t="s">
        <v>170</v>
      </c>
      <c r="E37" s="118" t="s">
        <v>171</v>
      </c>
      <c r="F37" s="55" t="s">
        <v>162</v>
      </c>
      <c r="G37" s="77" t="s">
        <v>163</v>
      </c>
      <c r="H37" s="55" t="s">
        <v>164</v>
      </c>
      <c r="I37" s="68"/>
    </row>
    <row r="38" spans="2:13" ht="30" customHeight="1" x14ac:dyDescent="0.25">
      <c r="C38" s="89" t="s">
        <v>349</v>
      </c>
      <c r="D38" s="143">
        <f>'Lägg in data här'!E63</f>
        <v>0</v>
      </c>
      <c r="E38" s="143">
        <f>'Lägg in data här för kemikalier'!G65</f>
        <v>44</v>
      </c>
      <c r="F38" s="103" t="s">
        <v>181</v>
      </c>
      <c r="G38" s="88">
        <v>1</v>
      </c>
      <c r="H38" s="143">
        <f>-D38*E38*G38</f>
        <v>0</v>
      </c>
      <c r="I38" s="28"/>
    </row>
    <row r="39" spans="2:13" ht="30" customHeight="1" x14ac:dyDescent="0.25">
      <c r="C39" s="148" t="s">
        <v>73</v>
      </c>
      <c r="D39" s="146"/>
      <c r="E39" s="146"/>
      <c r="F39" s="150"/>
      <c r="G39" s="156"/>
      <c r="H39" s="143">
        <f>-D39*E39*G39</f>
        <v>0</v>
      </c>
      <c r="I39" s="28"/>
    </row>
    <row r="40" spans="2:13" ht="30" customHeight="1" x14ac:dyDescent="0.25">
      <c r="H40" s="28"/>
      <c r="I40" s="28"/>
    </row>
    <row r="41" spans="2:13" ht="30" customHeight="1" x14ac:dyDescent="0.25">
      <c r="H41" s="28"/>
      <c r="I41" s="28"/>
    </row>
    <row r="42" spans="2:13" ht="30" customHeight="1" x14ac:dyDescent="0.25">
      <c r="C42" s="120"/>
    </row>
    <row r="43" spans="2:13" ht="30" hidden="1" customHeight="1" x14ac:dyDescent="0.25">
      <c r="C43" s="120"/>
    </row>
    <row r="44" spans="2:13" ht="30" hidden="1" customHeight="1" x14ac:dyDescent="0.25">
      <c r="B44" s="120"/>
      <c r="I44" s="28"/>
    </row>
    <row r="45" spans="2:13" ht="30" hidden="1" customHeight="1" x14ac:dyDescent="0.25">
      <c r="B45" s="120"/>
      <c r="I45" s="28"/>
    </row>
    <row r="46" spans="2:13" ht="30" hidden="1" customHeight="1" x14ac:dyDescent="0.25">
      <c r="B46" s="120"/>
      <c r="I46" s="28"/>
    </row>
    <row r="47" spans="2:13" ht="30" hidden="1" customHeight="1" x14ac:dyDescent="0.25">
      <c r="B47" s="120"/>
      <c r="I47" s="28"/>
    </row>
    <row r="48" spans="2:13" ht="30" hidden="1" customHeight="1" x14ac:dyDescent="0.25">
      <c r="B48" s="120"/>
      <c r="I48" s="28"/>
    </row>
    <row r="49" spans="2:13" ht="30" hidden="1" customHeight="1" x14ac:dyDescent="0.25">
      <c r="B49" s="120"/>
      <c r="I49" s="28"/>
    </row>
    <row r="50" spans="2:13" ht="30" hidden="1" customHeight="1" x14ac:dyDescent="0.25">
      <c r="B50" s="120"/>
      <c r="I50" s="28"/>
    </row>
    <row r="51" spans="2:13" ht="30" hidden="1" customHeight="1" x14ac:dyDescent="0.25">
      <c r="B51" s="120"/>
      <c r="I51" s="28"/>
    </row>
    <row r="52" spans="2:13" ht="30" hidden="1" customHeight="1" x14ac:dyDescent="0.25">
      <c r="B52" s="120"/>
      <c r="I52" s="28"/>
    </row>
    <row r="53" spans="2:13" ht="30" hidden="1" customHeight="1" x14ac:dyDescent="0.25">
      <c r="B53" s="120"/>
      <c r="I53" s="28"/>
    </row>
    <row r="54" spans="2:13" ht="30" hidden="1" customHeight="1" x14ac:dyDescent="0.25">
      <c r="B54" s="120"/>
      <c r="I54" s="28"/>
    </row>
    <row r="55" spans="2:13" ht="30" hidden="1" customHeight="1" x14ac:dyDescent="0.25">
      <c r="B55" s="120"/>
      <c r="I55" s="28"/>
    </row>
    <row r="56" spans="2:13" ht="30" hidden="1" customHeight="1" x14ac:dyDescent="0.25">
      <c r="B56" s="120"/>
      <c r="I56" s="28"/>
    </row>
    <row r="57" spans="2:13" ht="30" hidden="1" customHeight="1" x14ac:dyDescent="0.25">
      <c r="B57" s="120"/>
      <c r="I57" s="28"/>
    </row>
    <row r="58" spans="2:13" ht="30" hidden="1" customHeight="1" x14ac:dyDescent="0.25">
      <c r="B58" s="120"/>
      <c r="I58" s="28"/>
    </row>
    <row r="59" spans="2:13" ht="30" hidden="1" customHeight="1" x14ac:dyDescent="0.25">
      <c r="I59" s="28"/>
    </row>
    <row r="60" spans="2:13" ht="30" hidden="1" customHeight="1" x14ac:dyDescent="0.25">
      <c r="B60" s="90"/>
      <c r="C60" s="28"/>
      <c r="D60" s="28"/>
      <c r="E60" s="63"/>
      <c r="F60" s="70"/>
      <c r="G60" s="93"/>
      <c r="H60" s="28"/>
      <c r="I60" s="28"/>
      <c r="K60" s="63"/>
      <c r="L60" s="70"/>
      <c r="M60" s="70"/>
    </row>
    <row r="61" spans="2:13" ht="30" hidden="1" customHeight="1" x14ac:dyDescent="0.25">
      <c r="B61" s="90"/>
      <c r="C61" s="91"/>
      <c r="D61" s="91"/>
      <c r="E61" s="92"/>
      <c r="F61" s="70"/>
      <c r="G61" s="93"/>
      <c r="H61" s="28"/>
      <c r="I61" s="28"/>
      <c r="K61" s="63" t="e">
        <f>'Nyttor från biprodukter'!#REF!</f>
        <v>#REF!</v>
      </c>
      <c r="L61" s="70" t="e">
        <f>'Nyttor från biprodukter'!#REF!*'Nyttor från biprodukter'!#REF!</f>
        <v>#REF!</v>
      </c>
      <c r="M61" s="70" t="e">
        <f>'Nyttor från biprodukter'!#REF!*'Nyttor från biprodukter'!#REF!</f>
        <v>#REF!</v>
      </c>
    </row>
    <row r="62" spans="2:13" ht="30" hidden="1" customHeight="1" x14ac:dyDescent="0.25">
      <c r="B62" s="90"/>
      <c r="C62" s="91"/>
      <c r="D62" s="91"/>
      <c r="E62" s="92"/>
      <c r="F62" s="70"/>
      <c r="G62" s="93"/>
      <c r="H62" s="28"/>
      <c r="I62" s="28"/>
      <c r="K62" s="63" t="e">
        <f>'Nyttor från biprodukter'!#REF!</f>
        <v>#REF!</v>
      </c>
      <c r="L62" s="70" t="e">
        <f>'Nyttor från biprodukter'!#REF!*'Nyttor från biprodukter'!#REF!</f>
        <v>#REF!</v>
      </c>
      <c r="M62" s="70" t="e">
        <f>'Nyttor från biprodukter'!#REF!*'Nyttor från biprodukter'!#REF!</f>
        <v>#REF!</v>
      </c>
    </row>
    <row r="63" spans="2:13" ht="30" hidden="1" customHeight="1" x14ac:dyDescent="0.25">
      <c r="B63" s="90"/>
      <c r="C63" s="91"/>
      <c r="D63" s="91"/>
      <c r="E63" s="92"/>
      <c r="F63" s="70"/>
      <c r="G63" s="93"/>
      <c r="H63" s="28"/>
      <c r="I63" s="28"/>
      <c r="K63" s="63" t="e">
        <f>'Nyttor från biprodukter'!#REF!</f>
        <v>#REF!</v>
      </c>
      <c r="L63" s="70" t="e">
        <f>'Nyttor från biprodukter'!#REF!*'Nyttor från biprodukter'!#REF!</f>
        <v>#REF!</v>
      </c>
      <c r="M63" s="70" t="e">
        <f>'Nyttor från biprodukter'!#REF!*'Nyttor från biprodukter'!#REF!</f>
        <v>#REF!</v>
      </c>
    </row>
    <row r="64" spans="2:13" ht="30" hidden="1" customHeight="1" x14ac:dyDescent="0.25">
      <c r="B64" s="90"/>
      <c r="C64" s="91"/>
      <c r="D64" s="91"/>
      <c r="E64" s="92"/>
      <c r="F64" s="70"/>
      <c r="G64" s="93"/>
      <c r="H64" s="28"/>
      <c r="I64" s="28"/>
      <c r="K64" s="63" t="e">
        <f>'Nyttor från biprodukter'!#REF!</f>
        <v>#REF!</v>
      </c>
      <c r="L64" s="70" t="e">
        <f>'Nyttor från biprodukter'!#REF!*'Nyttor från biprodukter'!#REF!</f>
        <v>#REF!</v>
      </c>
      <c r="M64" s="70" t="e">
        <f>'Nyttor från biprodukter'!#REF!*'Nyttor från biprodukter'!#REF!</f>
        <v>#REF!</v>
      </c>
    </row>
    <row r="65" spans="2:13" ht="30" hidden="1" customHeight="1" x14ac:dyDescent="0.25">
      <c r="B65" s="90"/>
      <c r="C65" s="91"/>
      <c r="D65" s="91"/>
      <c r="E65" s="92"/>
      <c r="F65" s="70"/>
      <c r="G65" s="93"/>
      <c r="H65" s="28"/>
      <c r="I65" s="28"/>
      <c r="K65" s="63" t="e">
        <f>'Nyttor från biprodukter'!#REF!</f>
        <v>#REF!</v>
      </c>
      <c r="L65" s="70" t="e">
        <f>'Nyttor från biprodukter'!#REF!*'Nyttor från biprodukter'!#REF!</f>
        <v>#REF!</v>
      </c>
      <c r="M65" s="70" t="e">
        <f>'Nyttor från biprodukter'!#REF!*'Nyttor från biprodukter'!#REF!</f>
        <v>#REF!</v>
      </c>
    </row>
    <row r="66" spans="2:13" ht="30" hidden="1" customHeight="1" x14ac:dyDescent="0.25">
      <c r="B66" s="90"/>
      <c r="C66" s="91"/>
      <c r="D66" s="91"/>
      <c r="E66" s="92"/>
      <c r="F66" s="70"/>
      <c r="G66" s="93"/>
      <c r="H66" s="28"/>
      <c r="I66" s="28"/>
    </row>
    <row r="67" spans="2:13" ht="30" hidden="1" customHeight="1" x14ac:dyDescent="0.25">
      <c r="B67" s="90"/>
      <c r="C67" s="91"/>
      <c r="D67" s="91"/>
      <c r="E67" s="92"/>
      <c r="F67" s="70"/>
      <c r="G67" s="93"/>
      <c r="H67" s="28"/>
      <c r="I67" s="28"/>
    </row>
    <row r="68" spans="2:13" ht="30" hidden="1" customHeight="1" x14ac:dyDescent="0.25">
      <c r="B68" s="90"/>
      <c r="C68" s="91"/>
      <c r="D68" s="91"/>
      <c r="E68" s="92"/>
      <c r="F68" s="70"/>
      <c r="G68" s="93"/>
      <c r="H68" s="28"/>
      <c r="I68" s="28"/>
    </row>
    <row r="69" spans="2:13" ht="30" hidden="1" customHeight="1" x14ac:dyDescent="0.25">
      <c r="B69" s="90"/>
      <c r="C69" s="91"/>
      <c r="D69" s="91"/>
      <c r="E69" s="92"/>
      <c r="F69" s="70"/>
      <c r="G69" s="93"/>
      <c r="H69" s="28"/>
      <c r="I69" s="28"/>
    </row>
    <row r="70" spans="2:13" ht="30" hidden="1" customHeight="1" x14ac:dyDescent="0.25">
      <c r="B70" s="90"/>
      <c r="C70" s="91"/>
      <c r="D70" s="91"/>
      <c r="E70" s="92"/>
      <c r="F70" s="70"/>
      <c r="G70" s="93"/>
      <c r="H70" s="28"/>
      <c r="I70" s="28"/>
    </row>
    <row r="71" spans="2:13" ht="30" hidden="1" customHeight="1" x14ac:dyDescent="0.25">
      <c r="B71" s="90"/>
      <c r="C71" s="91"/>
      <c r="D71" s="91"/>
      <c r="E71" s="92"/>
      <c r="F71" s="70"/>
      <c r="G71" s="93"/>
      <c r="H71" s="28"/>
      <c r="I71" s="28"/>
    </row>
    <row r="72" spans="2:13" ht="30" hidden="1" customHeight="1" x14ac:dyDescent="0.25">
      <c r="B72" s="90"/>
      <c r="C72" s="91"/>
      <c r="D72" s="91"/>
      <c r="E72" s="92"/>
      <c r="F72" s="70"/>
      <c r="G72" s="93"/>
      <c r="H72" s="28"/>
      <c r="I72" s="28"/>
    </row>
    <row r="73" spans="2:13" ht="30" hidden="1" customHeight="1" x14ac:dyDescent="0.25">
      <c r="E73" s="25"/>
      <c r="F73" s="25"/>
      <c r="G73" s="63"/>
      <c r="H73" s="28"/>
      <c r="I73" s="28"/>
    </row>
    <row r="74" spans="2:13" ht="15" hidden="1" customHeight="1" x14ac:dyDescent="0.25"/>
    <row r="75" spans="2:13" ht="15" hidden="1" customHeight="1" x14ac:dyDescent="0.25"/>
  </sheetData>
  <sheetProtection sheet="1" objects="1" scenarios="1"/>
  <dataConsolidate/>
  <mergeCells count="12">
    <mergeCell ref="B34:I34"/>
    <mergeCell ref="B35:I35"/>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E44:E72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5"/>
  <sheetViews>
    <sheetView showGridLines="0" topLeftCell="A2" zoomScale="90" zoomScaleNormal="90" workbookViewId="0">
      <selection activeCell="G14" sqref="G14"/>
    </sheetView>
  </sheetViews>
  <sheetFormatPr defaultColWidth="0" defaultRowHeight="0" customHeight="1" zeroHeight="1" x14ac:dyDescent="0.25"/>
  <cols>
    <col min="1" max="1" width="8.7109375" customWidth="1"/>
    <col min="2" max="11" width="25.7109375" customWidth="1"/>
    <col min="12" max="12" width="8.7109375" customWidth="1"/>
    <col min="13" max="19" width="0" hidden="1" customWidth="1"/>
    <col min="20" max="16384" width="8.7109375" hidden="1"/>
  </cols>
  <sheetData>
    <row r="1" spans="2:11" ht="15" hidden="1" x14ac:dyDescent="0.25"/>
    <row r="2" spans="2:11" ht="33" customHeight="1" x14ac:dyDescent="0.25">
      <c r="C2" s="24"/>
    </row>
    <row r="3" spans="2:11" ht="33" customHeight="1" x14ac:dyDescent="0.25">
      <c r="C3" s="338" t="s">
        <v>182</v>
      </c>
      <c r="D3" s="338"/>
      <c r="E3" s="338"/>
      <c r="F3" s="338"/>
      <c r="G3" s="338"/>
      <c r="H3" s="338"/>
      <c r="I3" s="338"/>
      <c r="J3" s="338"/>
      <c r="K3" s="94"/>
    </row>
    <row r="4" spans="2:11" ht="33" customHeight="1" x14ac:dyDescent="0.25">
      <c r="C4" s="94"/>
      <c r="D4" s="94"/>
      <c r="E4" s="94"/>
      <c r="F4" s="94"/>
      <c r="G4" s="94"/>
      <c r="H4" s="94"/>
      <c r="I4" s="94"/>
      <c r="J4" s="94"/>
      <c r="K4" s="94"/>
    </row>
    <row r="5" spans="2:11" ht="33" customHeight="1" x14ac:dyDescent="0.25">
      <c r="C5" s="69"/>
      <c r="D5" s="341" t="s">
        <v>66</v>
      </c>
      <c r="E5" s="341"/>
      <c r="F5" s="341"/>
      <c r="G5" s="341"/>
      <c r="H5" s="341"/>
      <c r="I5" s="341"/>
      <c r="J5" s="69"/>
      <c r="K5" s="69"/>
    </row>
    <row r="6" spans="2:11" ht="32.25" customHeight="1" x14ac:dyDescent="0.25">
      <c r="C6" s="69"/>
      <c r="D6" s="331" t="s">
        <v>183</v>
      </c>
      <c r="E6" s="332"/>
      <c r="F6" s="331" t="s">
        <v>184</v>
      </c>
      <c r="G6" s="332"/>
      <c r="H6" s="331" t="s">
        <v>185</v>
      </c>
      <c r="I6" s="332"/>
      <c r="J6" s="72"/>
      <c r="K6" s="72"/>
    </row>
    <row r="7" spans="2:11" ht="33" customHeight="1" x14ac:dyDescent="0.25">
      <c r="C7" s="69"/>
      <c r="D7" s="339" t="str">
        <f>IFERROR(((K14*1000)/'Lägg in data här'!F8), "Ange antal kubikmeter renat vatten under tidigare flik")</f>
        <v>Ange antal kubikmeter renat vatten under tidigare flik</v>
      </c>
      <c r="E7" s="340"/>
      <c r="F7" s="339" t="str">
        <f>IFERROR(((K14*1000)/'Lägg in data här'!G8), "Ange mängden reducerat kväve under tidigare flik")</f>
        <v>Ange mängden reducerat kväve under tidigare flik</v>
      </c>
      <c r="G7" s="340"/>
      <c r="H7" s="339" t="str">
        <f>IFERROR(((K14*1000)/'Lägg in data här'!H8), "Ange antalet personekvivalenter i tidigare flik")</f>
        <v>Ange antalet personekvivalenter i tidigare flik</v>
      </c>
      <c r="I7" s="340"/>
      <c r="J7" s="69"/>
      <c r="K7" s="69"/>
    </row>
    <row r="8" spans="2:11" ht="33" customHeight="1" x14ac:dyDescent="0.25">
      <c r="C8" s="69"/>
      <c r="D8" s="95"/>
      <c r="E8" s="95"/>
      <c r="F8" s="95"/>
      <c r="G8" s="95"/>
      <c r="H8" s="78"/>
      <c r="I8" s="78"/>
      <c r="J8" s="69"/>
      <c r="K8" s="69"/>
    </row>
    <row r="9" spans="2:11" ht="33" customHeight="1" x14ac:dyDescent="0.25">
      <c r="C9" s="69"/>
      <c r="D9" s="282" t="s">
        <v>65</v>
      </c>
      <c r="E9" s="282"/>
      <c r="F9" s="282"/>
      <c r="G9" s="282"/>
      <c r="H9" s="282"/>
      <c r="I9" s="282"/>
      <c r="J9" s="69"/>
      <c r="K9" s="69"/>
    </row>
    <row r="10" spans="2:11" ht="33" customHeight="1" x14ac:dyDescent="0.25">
      <c r="C10" s="69"/>
      <c r="D10" s="331" t="s">
        <v>186</v>
      </c>
      <c r="E10" s="332"/>
      <c r="F10" s="95"/>
      <c r="G10" s="95"/>
      <c r="H10" s="333" t="s">
        <v>187</v>
      </c>
      <c r="I10" s="333"/>
      <c r="J10" s="69"/>
      <c r="K10" s="69"/>
    </row>
    <row r="11" spans="2:11" ht="33" customHeight="1" x14ac:dyDescent="0.25">
      <c r="C11" s="69"/>
      <c r="D11" s="334" t="str">
        <f>IFERROR(((K14*1000)/'Lägg in data här'!C8), "Ange antal kubikmeter producerat vatten i tidigare flik")</f>
        <v>Ange antal kubikmeter producerat vatten i tidigare flik</v>
      </c>
      <c r="E11" s="335"/>
      <c r="F11" s="69"/>
      <c r="G11" s="69"/>
      <c r="H11" s="336" t="str">
        <f>IFERROR(((K14*1000)/'Lägg in data här'!D8), "Ange antal kubikmeter distribuerat vatten i tidigare flik")</f>
        <v>Ange antal kubikmeter distribuerat vatten i tidigare flik</v>
      </c>
      <c r="I11" s="336"/>
      <c r="J11" s="69"/>
      <c r="K11" s="69"/>
    </row>
    <row r="12" spans="2:11" ht="33" customHeight="1" x14ac:dyDescent="0.25">
      <c r="C12" s="69"/>
      <c r="D12" s="172"/>
      <c r="E12" s="172"/>
      <c r="F12" s="69"/>
      <c r="G12" s="69"/>
      <c r="H12" s="173"/>
      <c r="I12" s="173"/>
      <c r="J12" s="69"/>
      <c r="K12" s="69"/>
    </row>
    <row r="13" spans="2:11" ht="66" customHeight="1" x14ac:dyDescent="0.25">
      <c r="B13" s="81" t="s">
        <v>191</v>
      </c>
      <c r="C13" s="81" t="s">
        <v>194</v>
      </c>
      <c r="D13" s="81" t="s">
        <v>195</v>
      </c>
      <c r="E13" s="81" t="s">
        <v>193</v>
      </c>
      <c r="F13" s="82" t="s">
        <v>190</v>
      </c>
      <c r="G13" s="81" t="s">
        <v>192</v>
      </c>
      <c r="H13" s="81" t="s">
        <v>188</v>
      </c>
      <c r="I13" s="81" t="s">
        <v>189</v>
      </c>
      <c r="J13" s="81" t="s">
        <v>196</v>
      </c>
      <c r="K13" s="176" t="s">
        <v>331</v>
      </c>
    </row>
    <row r="14" spans="2:11" ht="33" customHeight="1" x14ac:dyDescent="0.25">
      <c r="B14" s="171">
        <f>(SUM(E33:E38)+SUM(E41:E50))/1000</f>
        <v>0</v>
      </c>
      <c r="C14" s="171">
        <f>(I49+I50+I54+I52)/1000</f>
        <v>0</v>
      </c>
      <c r="D14" s="171">
        <f>(I48+I51+I53+SUM(I40:I41)+SUM(I43:I45))/1000</f>
        <v>0</v>
      </c>
      <c r="E14" s="171">
        <f>(SUM(E58:E65))/1000</f>
        <v>0</v>
      </c>
      <c r="F14" s="171">
        <f>(SUM(D24:D30)+SUM(E24:E30)+SUM(D33:D38))/1000</f>
        <v>0</v>
      </c>
      <c r="G14" s="171">
        <f>(SUM(D41:D50))/1000</f>
        <v>0</v>
      </c>
      <c r="H14" s="171">
        <f>(SUM(D90:D92)+SUM(I61:I85)+SUM(D68:D87)+SUM(D58:D65)+I58)/1000</f>
        <v>0</v>
      </c>
      <c r="I14" s="171">
        <f>(SUM(J24:J37)+SUM(E90:E92)+SUM(J61:J85)+SUM(E68:E87)+SUM(F58:F65))/1000</f>
        <v>0</v>
      </c>
      <c r="J14" s="171">
        <f>(SUM(I24:I37))/1000+I42/1000</f>
        <v>0</v>
      </c>
      <c r="K14" s="171">
        <f>SUM(B14:J14)</f>
        <v>0</v>
      </c>
    </row>
    <row r="15" spans="2:11" ht="24.95" customHeight="1" x14ac:dyDescent="0.25">
      <c r="B15" s="171" t="s">
        <v>332</v>
      </c>
      <c r="C15" s="171" t="s">
        <v>332</v>
      </c>
      <c r="D15" s="171" t="s">
        <v>332</v>
      </c>
      <c r="E15" s="171" t="s">
        <v>332</v>
      </c>
      <c r="F15" s="171" t="s">
        <v>332</v>
      </c>
      <c r="G15" s="171" t="s">
        <v>332</v>
      </c>
      <c r="H15" s="171" t="s">
        <v>332</v>
      </c>
      <c r="I15" s="171" t="s">
        <v>332</v>
      </c>
      <c r="J15" s="171" t="s">
        <v>332</v>
      </c>
      <c r="K15" s="171" t="s">
        <v>332</v>
      </c>
    </row>
    <row r="16" spans="2:11" ht="33" customHeight="1" x14ac:dyDescent="0.25">
      <c r="C16" s="80"/>
      <c r="D16" s="80"/>
      <c r="E16" s="83"/>
      <c r="F16" s="80"/>
      <c r="G16" s="80"/>
      <c r="H16" s="80"/>
      <c r="I16" s="80"/>
      <c r="J16" s="80"/>
      <c r="K16" s="80"/>
    </row>
    <row r="17" spans="1:11" ht="66" customHeight="1" x14ac:dyDescent="0.25">
      <c r="C17" s="80"/>
      <c r="D17" s="81" t="s">
        <v>347</v>
      </c>
      <c r="E17" s="82" t="s">
        <v>348</v>
      </c>
      <c r="F17" s="81" t="s">
        <v>356</v>
      </c>
      <c r="G17" s="81" t="s">
        <v>357</v>
      </c>
      <c r="H17" s="80"/>
      <c r="I17" s="81" t="s">
        <v>350</v>
      </c>
      <c r="K17" s="80"/>
    </row>
    <row r="18" spans="1:11" ht="33" customHeight="1" x14ac:dyDescent="0.25">
      <c r="C18" s="80"/>
      <c r="D18" s="171">
        <f>SUM(B14:E14)</f>
        <v>0</v>
      </c>
      <c r="E18" s="171">
        <f>F14</f>
        <v>0</v>
      </c>
      <c r="F18" s="171">
        <f>SUM(G14:I14)-(SUM(J24:J37))/1000</f>
        <v>0</v>
      </c>
      <c r="G18" s="171">
        <f>J14+(SUM(J24:J37))/1000</f>
        <v>0</v>
      </c>
      <c r="H18" s="80"/>
      <c r="I18" s="337" t="str">
        <f>'Nyttor från biprodukter'!H9</f>
        <v>Lägg in data i indataflikarna</v>
      </c>
      <c r="K18" s="80"/>
    </row>
    <row r="19" spans="1:11" ht="24.95" customHeight="1" x14ac:dyDescent="0.25">
      <c r="C19" s="80"/>
      <c r="D19" s="171" t="s">
        <v>332</v>
      </c>
      <c r="E19" s="171" t="s">
        <v>332</v>
      </c>
      <c r="F19" s="171" t="s">
        <v>332</v>
      </c>
      <c r="G19" s="171" t="s">
        <v>332</v>
      </c>
      <c r="H19" s="80"/>
      <c r="I19" s="337"/>
      <c r="K19" s="80"/>
    </row>
    <row r="20" spans="1:11" ht="33" customHeight="1" x14ac:dyDescent="0.25">
      <c r="C20" s="80"/>
      <c r="D20" s="83"/>
      <c r="E20" s="80"/>
      <c r="F20" s="80"/>
      <c r="G20" s="80"/>
      <c r="H20" s="80"/>
      <c r="I20" s="80"/>
      <c r="K20" s="80"/>
    </row>
    <row r="21" spans="1:11" ht="33" customHeight="1" x14ac:dyDescent="0.25">
      <c r="B21" s="330" t="s">
        <v>197</v>
      </c>
      <c r="C21" s="330"/>
      <c r="D21" s="330"/>
      <c r="E21" s="330"/>
      <c r="F21" s="330"/>
      <c r="G21" s="330"/>
      <c r="H21" s="330"/>
      <c r="I21" s="330"/>
      <c r="J21" s="330"/>
      <c r="K21" s="330"/>
    </row>
    <row r="22" spans="1:11" ht="33" customHeight="1" x14ac:dyDescent="0.25">
      <c r="C22" s="66"/>
      <c r="D22" s="66"/>
      <c r="E22" s="66"/>
      <c r="F22" s="66"/>
      <c r="G22" s="66"/>
      <c r="H22" s="66"/>
      <c r="I22" s="66"/>
      <c r="J22" s="66"/>
      <c r="K22" s="66"/>
    </row>
    <row r="23" spans="1:11" ht="33" customHeight="1" x14ac:dyDescent="0.25">
      <c r="C23" s="54" t="s">
        <v>338</v>
      </c>
      <c r="D23" s="77" t="s">
        <v>198</v>
      </c>
      <c r="E23" s="77" t="s">
        <v>199</v>
      </c>
      <c r="G23" s="54" t="s">
        <v>341</v>
      </c>
      <c r="H23" s="54" t="s">
        <v>202</v>
      </c>
      <c r="I23" s="77" t="s">
        <v>203</v>
      </c>
      <c r="J23" s="77" t="s">
        <v>204</v>
      </c>
    </row>
    <row r="24" spans="1:11" ht="33" customHeight="1" x14ac:dyDescent="0.25">
      <c r="A24" s="23"/>
      <c r="B24" s="23"/>
      <c r="C24" s="58" t="str">
        <f>'Lägg in data här'!D14</f>
        <v>Nordisk residualmix</v>
      </c>
      <c r="D24" s="88">
        <f>'Lägg in data här'!E14*'Lägg in data här'!G14</f>
        <v>0</v>
      </c>
      <c r="E24" s="88">
        <f>'Lägg in data här'!F14*'Lägg in data här'!G14</f>
        <v>0</v>
      </c>
      <c r="G24" s="342" t="s">
        <v>91</v>
      </c>
      <c r="H24" s="112" t="str">
        <f>'Lägg in data här'!D51</f>
        <v>Återvinning</v>
      </c>
      <c r="I24" s="88">
        <f>'Lägg in data här'!E51*'Lägg in data här'!H51</f>
        <v>0</v>
      </c>
      <c r="J24" s="88">
        <f>('Lägg in data här'!E51*'Lägg in data här'!F51)*'Lägg in data här'!I51</f>
        <v>0</v>
      </c>
    </row>
    <row r="25" spans="1:11" ht="30" customHeight="1" x14ac:dyDescent="0.25">
      <c r="C25" s="58" t="str">
        <f>'Lägg in data här'!D15</f>
        <v>Vattenkraft</v>
      </c>
      <c r="D25" s="88">
        <f>'Lägg in data här'!E15*'Lägg in data här'!G15</f>
        <v>0</v>
      </c>
      <c r="E25" s="88">
        <f>'Lägg in data här'!F15*'Lägg in data här'!G15</f>
        <v>0</v>
      </c>
      <c r="G25" s="343"/>
      <c r="H25" s="112" t="str">
        <f>'Lägg in data här'!D52</f>
        <v>Deponi</v>
      </c>
      <c r="I25" s="88">
        <f>'Lägg in data här'!E52*'Lägg in data här'!H52</f>
        <v>0</v>
      </c>
      <c r="J25" s="88">
        <f>('Lägg in data här'!E52*'Lägg in data här'!F52)*'Lägg in data här'!I52</f>
        <v>0</v>
      </c>
    </row>
    <row r="26" spans="1:11" ht="30" customHeight="1" x14ac:dyDescent="0.25">
      <c r="C26" s="58" t="str">
        <f>'Lägg in data här'!D16</f>
        <v xml:space="preserve">Vindkraft </v>
      </c>
      <c r="D26" s="88">
        <f>'Lägg in data här'!E16*'Lägg in data här'!G16</f>
        <v>0</v>
      </c>
      <c r="E26" s="88">
        <f>'Lägg in data här'!F16*'Lägg in data här'!G16</f>
        <v>0</v>
      </c>
      <c r="G26" s="342" t="s">
        <v>94</v>
      </c>
      <c r="H26" s="112" t="str">
        <f>'Lägg in data här'!D53</f>
        <v>Reaktivering*</v>
      </c>
      <c r="I26" s="88">
        <f>'Lägg in data här'!E53*'Lägg in data här'!H53</f>
        <v>0</v>
      </c>
      <c r="J26" s="88">
        <f>('Lägg in data här'!E53*'Lägg in data här'!F53)*'Lägg in data här'!I53</f>
        <v>0</v>
      </c>
    </row>
    <row r="27" spans="1:11" ht="30" customHeight="1" x14ac:dyDescent="0.25">
      <c r="C27" s="58" t="str">
        <f>'Lägg in data här'!D17</f>
        <v>Solkraft</v>
      </c>
      <c r="D27" s="88">
        <f>'Lägg in data här'!E17*'Lägg in data här'!G17</f>
        <v>0</v>
      </c>
      <c r="E27" s="88">
        <f>'Lägg in data här'!F17*'Lägg in data här'!G17</f>
        <v>0</v>
      </c>
      <c r="G27" s="343"/>
      <c r="H27" s="112" t="str">
        <f>'Lägg in data här'!D54</f>
        <v>Förbränning</v>
      </c>
      <c r="I27" s="88">
        <f>'Lägg in data här'!E54*'Lägg in data här'!H54</f>
        <v>0</v>
      </c>
      <c r="J27" s="88">
        <f>('Lägg in data här'!E54*'Lägg in data här'!F54)*'Lägg in data här'!I54</f>
        <v>0</v>
      </c>
    </row>
    <row r="28" spans="1:11" ht="30" customHeight="1" x14ac:dyDescent="0.25">
      <c r="C28" s="58" t="str">
        <f>'Lägg in data här'!D18</f>
        <v>Kärnkraft</v>
      </c>
      <c r="D28" s="88">
        <f>'Lägg in data här'!E18*'Lägg in data här'!G18</f>
        <v>0</v>
      </c>
      <c r="E28" s="88">
        <f>'Lägg in data här'!F18*'Lägg in data här'!G18</f>
        <v>0</v>
      </c>
      <c r="G28" s="112" t="s">
        <v>95</v>
      </c>
      <c r="H28" s="112" t="str">
        <f>'Lägg in data här'!D55</f>
        <v>Förbränning</v>
      </c>
      <c r="I28" s="88">
        <f>'Lägg in data här'!E55*'Lägg in data här'!H55</f>
        <v>0</v>
      </c>
      <c r="J28" s="88">
        <f>('Lägg in data här'!E55*'Lägg in data här'!F55)*'Lägg in data här'!I55</f>
        <v>0</v>
      </c>
    </row>
    <row r="29" spans="1:11" ht="30" customHeight="1" x14ac:dyDescent="0.25">
      <c r="C29" s="58" t="str">
        <f>'Lägg in data här'!D19</f>
        <v>Biogas, 
internt producerad</v>
      </c>
      <c r="D29" s="88">
        <f>'Lägg in data här'!E19*'Lägg in data här'!G19</f>
        <v>0</v>
      </c>
      <c r="E29" s="88">
        <f>'Lägg in data här'!F19*'Lägg in data här'!G19</f>
        <v>0</v>
      </c>
      <c r="F29" s="70"/>
      <c r="G29" s="344" t="s">
        <v>169</v>
      </c>
      <c r="H29" s="112" t="str">
        <f>'Lägg in data här'!D56</f>
        <v>Behandling av orötat slam hos annat ARV**</v>
      </c>
      <c r="I29" s="88">
        <f>'Lägg in data här'!E56*('Lägg in data här'!$H$88/100)*'Lägg in data här'!H56</f>
        <v>0</v>
      </c>
      <c r="J29" s="88">
        <f>('Lägg in data här'!E56*'Lägg in data här'!F56)*'Lägg in data här'!I56</f>
        <v>0</v>
      </c>
    </row>
    <row r="30" spans="1:11" ht="30" customHeight="1" x14ac:dyDescent="0.25">
      <c r="C30" s="105" t="str">
        <f>'Lägg in data här'!D20</f>
        <v>Annan</v>
      </c>
      <c r="D30" s="88">
        <f>'Lägg in data här'!E20*'Lägg in data här'!G20</f>
        <v>0</v>
      </c>
      <c r="E30" s="88">
        <f>'Lägg in data här'!F20*'Lägg in data här'!G20</f>
        <v>0</v>
      </c>
      <c r="F30" s="70"/>
      <c r="G30" s="345"/>
      <c r="H30" s="112" t="str">
        <f>'Lägg in data här'!D57</f>
        <v>Förbränning</v>
      </c>
      <c r="I30" s="88">
        <f>'Lägg in data här'!E57*('Lägg in data här'!$H$88/100)*'Lägg in data här'!H57</f>
        <v>0</v>
      </c>
      <c r="J30" s="88">
        <f>('Lägg in data här'!E57*'Lägg in data här'!F57)*'Lägg in data här'!I57</f>
        <v>0</v>
      </c>
    </row>
    <row r="31" spans="1:11" ht="30" customHeight="1" x14ac:dyDescent="0.25">
      <c r="C31" s="70"/>
      <c r="D31" s="70"/>
      <c r="E31" s="70"/>
      <c r="F31" s="25"/>
      <c r="G31" s="345"/>
      <c r="H31" s="112" t="str">
        <f>'Lägg in data här'!D58</f>
        <v>Deponitäckning</v>
      </c>
      <c r="I31" s="88">
        <f>'Lägg in data här'!E58*('Lägg in data här'!$H$88/100)*'Lägg in data här'!H58</f>
        <v>0</v>
      </c>
      <c r="J31" s="88">
        <f>('Lägg in data här'!E58*'Lägg in data här'!F58)*'Lägg in data här'!I58</f>
        <v>0</v>
      </c>
    </row>
    <row r="32" spans="1:11" ht="30" customHeight="1" x14ac:dyDescent="0.25">
      <c r="C32" s="54" t="s">
        <v>339</v>
      </c>
      <c r="D32" s="79" t="s">
        <v>200</v>
      </c>
      <c r="E32" s="79" t="s">
        <v>201</v>
      </c>
      <c r="F32" s="25"/>
      <c r="G32" s="345"/>
      <c r="H32" s="112" t="str">
        <f>'Lägg in data här'!D59</f>
        <v>Jordtillverkning</v>
      </c>
      <c r="I32" s="88">
        <f>'Lägg in data här'!E59*('Lägg in data här'!$H$88/100)*'Lägg in data här'!H59</f>
        <v>0</v>
      </c>
      <c r="J32" s="88">
        <f>('Lägg in data här'!E59*'Lägg in data här'!F59)*'Lägg in data här'!I59</f>
        <v>0</v>
      </c>
    </row>
    <row r="33" spans="3:11" ht="30" customHeight="1" x14ac:dyDescent="0.25">
      <c r="C33" s="58" t="str">
        <f>'Lägg in data här'!D23</f>
        <v>Eldningsolja</v>
      </c>
      <c r="D33" s="88">
        <f>'Lägg in data här'!E23*'Lägg in data här'!F23</f>
        <v>0</v>
      </c>
      <c r="E33" s="88">
        <f>'Lägg in data här'!E23*'Lägg in data här'!G23</f>
        <v>0</v>
      </c>
      <c r="F33" s="25"/>
      <c r="G33" s="346"/>
      <c r="H33" s="112" t="str">
        <f>'Lägg in data här'!D60</f>
        <v>Spridning på åkermark</v>
      </c>
      <c r="I33" s="88">
        <f>'Lägg in data här'!E60*('Lägg in data här'!$H$88/100)*'Lägg in data här'!H60</f>
        <v>0</v>
      </c>
      <c r="J33" s="88">
        <f>('Lägg in data här'!E60*'Lägg in data här'!F60)*'Lägg in data här'!I60</f>
        <v>0</v>
      </c>
    </row>
    <row r="34" spans="3:11" ht="30" customHeight="1" x14ac:dyDescent="0.25">
      <c r="C34" s="58" t="str">
        <f>'Lägg in data här'!D24</f>
        <v>Naturgas/stadsgas</v>
      </c>
      <c r="D34" s="88">
        <f>'Lägg in data här'!E24*'Lägg in data här'!F24</f>
        <v>0</v>
      </c>
      <c r="E34" s="88">
        <f>'Lägg in data här'!E24*'Lägg in data här'!G24</f>
        <v>0</v>
      </c>
      <c r="F34" s="25"/>
      <c r="G34" s="344" t="s">
        <v>208</v>
      </c>
      <c r="H34" s="112" t="str">
        <f>'Lägg in data här'!D61</f>
        <v>Återvinning</v>
      </c>
      <c r="I34" s="88">
        <f>'Lägg in data här'!E61*'Lägg in data här'!H61</f>
        <v>0</v>
      </c>
      <c r="J34" s="88">
        <f>('Lägg in data här'!E61*'Lägg in data här'!F61)*'Lägg in data här'!I61</f>
        <v>0</v>
      </c>
    </row>
    <row r="35" spans="3:11" ht="30" customHeight="1" x14ac:dyDescent="0.25">
      <c r="C35" s="58" t="str">
        <f>'Lägg in data här'!D25</f>
        <v>Biogas, 
internt producerad</v>
      </c>
      <c r="D35" s="88">
        <f>'Lägg in data här'!E25*'Lägg in data här'!F25</f>
        <v>0</v>
      </c>
      <c r="E35" s="88">
        <f>'Lägg in data här'!E25*'Lägg in data här'!G25</f>
        <v>0</v>
      </c>
      <c r="F35" s="25"/>
      <c r="G35" s="346"/>
      <c r="H35" s="112" t="str">
        <f>'Lägg in data här'!D62</f>
        <v>Deponi</v>
      </c>
      <c r="I35" s="88">
        <f>'Lägg in data här'!E62*'Lägg in data här'!H62</f>
        <v>0</v>
      </c>
      <c r="J35" s="88">
        <f>('Lägg in data här'!E62*'Lägg in data här'!F62)*'Lägg in data här'!I62</f>
        <v>0</v>
      </c>
    </row>
    <row r="36" spans="3:11" ht="30" customHeight="1" x14ac:dyDescent="0.25">
      <c r="C36" s="58" t="str">
        <f>'Lägg in data här'!D26</f>
        <v>Fjärrvärme, lokala miljövärden*</v>
      </c>
      <c r="D36" s="88">
        <f>'Lägg in data här'!E26*'Lägg in data här'!F26</f>
        <v>0</v>
      </c>
      <c r="E36" s="88">
        <f>'Lägg in data här'!E26*'Lägg in data här'!G26</f>
        <v>0</v>
      </c>
      <c r="F36" s="25"/>
      <c r="G36" s="342" t="s">
        <v>382</v>
      </c>
      <c r="H36" s="112" t="str">
        <f>'Lägg in data här'!D63</f>
        <v>Återvinning</v>
      </c>
      <c r="I36" s="88">
        <f>'Lägg in data här'!E63*'Lägg in data här'!H63</f>
        <v>0</v>
      </c>
      <c r="J36" s="88">
        <f>('Lägg in data här'!E63*'Lägg in data här'!F63)*'Lägg in data här'!I63</f>
        <v>0</v>
      </c>
    </row>
    <row r="37" spans="3:11" ht="30" customHeight="1" x14ac:dyDescent="0.25">
      <c r="C37" s="58" t="str">
        <f>'Lägg in data här'!D27</f>
        <v>Fjärrkyla, lokala miljövärden**</v>
      </c>
      <c r="D37" s="88">
        <f>'Lägg in data här'!E27*'Lägg in data här'!F27</f>
        <v>0</v>
      </c>
      <c r="E37" s="88">
        <f>'Lägg in data här'!E27*'Lägg in data här'!G27</f>
        <v>0</v>
      </c>
      <c r="F37" s="25"/>
      <c r="G37" s="343"/>
      <c r="H37" s="112" t="str">
        <f>'Lägg in data här'!D64</f>
        <v>Deponi</v>
      </c>
      <c r="I37" s="88">
        <f>'Lägg in data här'!E64*'Lägg in data här'!H64</f>
        <v>0</v>
      </c>
      <c r="J37" s="88">
        <f>('Lägg in data här'!E64*'Lägg in data här'!F64)*'Lägg in data här'!I64</f>
        <v>0</v>
      </c>
    </row>
    <row r="38" spans="3:11" ht="30" customHeight="1" x14ac:dyDescent="0.25">
      <c r="C38" s="105" t="str">
        <f>'Lägg in data här'!D28</f>
        <v>Annan</v>
      </c>
      <c r="D38" s="88">
        <f>'Lägg in data här'!E28*'Lägg in data här'!F28</f>
        <v>0</v>
      </c>
      <c r="E38" s="88">
        <f>'Lägg in data här'!E28*'Lägg in data här'!G28</f>
        <v>0</v>
      </c>
      <c r="F38" s="25"/>
      <c r="K38" s="68"/>
    </row>
    <row r="39" spans="3:11" ht="30" customHeight="1" x14ac:dyDescent="0.25">
      <c r="F39" s="25"/>
      <c r="H39" s="55" t="s">
        <v>342</v>
      </c>
      <c r="I39" s="55" t="s">
        <v>210</v>
      </c>
      <c r="K39" s="68"/>
    </row>
    <row r="40" spans="3:11" ht="35.1" customHeight="1" x14ac:dyDescent="0.25">
      <c r="C40" s="54" t="s">
        <v>340</v>
      </c>
      <c r="D40" s="55" t="s">
        <v>214</v>
      </c>
      <c r="E40" s="55" t="s">
        <v>215</v>
      </c>
      <c r="F40" s="25"/>
      <c r="H40" s="103" t="s">
        <v>216</v>
      </c>
      <c r="I40" s="88">
        <f>IF('Lägg in data här'!C79=0,'Lägg in data här'!C81*Referenser!C95,'Lägg in data här'!C79*Referenser!C95)</f>
        <v>0</v>
      </c>
    </row>
    <row r="41" spans="3:11" ht="30" customHeight="1" x14ac:dyDescent="0.25">
      <c r="C41" s="58" t="str">
        <f>'Lägg in data här'!D36</f>
        <v>Diesel MK1*</v>
      </c>
      <c r="D41" s="60">
        <f>'Lägg in data här'!E36*'Lägg in data här'!F36</f>
        <v>0</v>
      </c>
      <c r="E41" s="88">
        <f>'Lägg in data här'!E36*'Lägg in data här'!G36</f>
        <v>0</v>
      </c>
      <c r="F41" s="25"/>
      <c r="H41" s="58" t="s">
        <v>325</v>
      </c>
      <c r="I41" s="88">
        <f>IF('Lägg in data här'!H74=0,'Lägg in data här'!H77*('Lägg in data här'!C76/100)*'Lägg in data här'!I77*Referenser!C95,'Lägg in data här'!H74*Referenser!C95)</f>
        <v>0</v>
      </c>
    </row>
    <row r="42" spans="3:11" ht="30" customHeight="1" x14ac:dyDescent="0.25">
      <c r="C42" s="58" t="str">
        <f>'Lägg in data här'!D37</f>
        <v>Diesel MK3</v>
      </c>
      <c r="D42" s="60">
        <f>'Lägg in data här'!E37*'Lägg in data här'!F37</f>
        <v>0</v>
      </c>
      <c r="E42" s="88">
        <f>'Lägg in data här'!E37*'Lägg in data här'!G37</f>
        <v>0</v>
      </c>
      <c r="F42" s="25"/>
      <c r="H42" s="58" t="s">
        <v>326</v>
      </c>
      <c r="I42" s="88">
        <f>'Lägg in data här'!H78*('Lägg in data här'!C76/100)*'Lägg in data här'!I78*Referenser!C95</f>
        <v>0</v>
      </c>
    </row>
    <row r="43" spans="3:11" ht="30" customHeight="1" x14ac:dyDescent="0.25">
      <c r="C43" s="58" t="str">
        <f>'Lägg in data här'!D38</f>
        <v>Bensin MK1</v>
      </c>
      <c r="D43" s="60">
        <f>'Lägg in data här'!E38*'Lägg in data här'!F38</f>
        <v>0</v>
      </c>
      <c r="E43" s="88">
        <f>'Lägg in data här'!E38*'Lägg in data här'!G38</f>
        <v>0</v>
      </c>
      <c r="F43" s="25"/>
      <c r="H43" s="103" t="s">
        <v>327</v>
      </c>
      <c r="I43" s="88">
        <f>'Lägg in data här'!H79*('Lägg in data här'!C76/100)*'Lägg in data här'!I79*Referenser!C95</f>
        <v>0</v>
      </c>
    </row>
    <row r="44" spans="3:11" ht="30" customHeight="1" x14ac:dyDescent="0.25">
      <c r="C44" s="58" t="str">
        <f>'Lägg in data här'!D39</f>
        <v>E85</v>
      </c>
      <c r="D44" s="60">
        <f>'Lägg in data här'!E39*'Lägg in data här'!F39</f>
        <v>0</v>
      </c>
      <c r="E44" s="88">
        <f>'Lägg in data här'!E39*'Lägg in data här'!G39</f>
        <v>0</v>
      </c>
      <c r="F44" s="25"/>
      <c r="H44" s="103" t="s">
        <v>328</v>
      </c>
      <c r="I44" s="88">
        <f>'Lägg in data här'!H80*('Lägg in data här'!C76/100)*'Lägg in data här'!I80*Referenser!C95</f>
        <v>0</v>
      </c>
    </row>
    <row r="45" spans="3:11" ht="30" customHeight="1" x14ac:dyDescent="0.25">
      <c r="C45" s="58" t="str">
        <f>'Lägg in data här'!D40</f>
        <v>HVO100</v>
      </c>
      <c r="D45" s="60">
        <f>'Lägg in data här'!E40*'Lägg in data här'!F40</f>
        <v>0</v>
      </c>
      <c r="E45" s="88">
        <f>'Lägg in data här'!E40*'Lägg in data här'!G40</f>
        <v>0</v>
      </c>
      <c r="F45" s="25"/>
      <c r="H45" s="103" t="s">
        <v>329</v>
      </c>
      <c r="I45" s="88">
        <f>'Lägg in data här'!H81*('Lägg in data här'!C76/100)*'Lägg in data här'!I81*Referenser!C95</f>
        <v>0</v>
      </c>
    </row>
    <row r="46" spans="3:11" ht="30" customHeight="1" x14ac:dyDescent="0.25">
      <c r="C46" s="58" t="str">
        <f>'Lägg in data här'!D41</f>
        <v>FAME100</v>
      </c>
      <c r="D46" s="60">
        <f>'Lägg in data här'!E41*'Lägg in data här'!F41</f>
        <v>0</v>
      </c>
      <c r="E46" s="88">
        <f>'Lägg in data här'!E41*'Lägg in data här'!G41</f>
        <v>0</v>
      </c>
      <c r="F46" s="25"/>
    </row>
    <row r="47" spans="3:11" ht="30" customHeight="1" x14ac:dyDescent="0.25">
      <c r="C47" s="58" t="str">
        <f>'Lägg in data här'!D42</f>
        <v>LNG/LBG [kg]</v>
      </c>
      <c r="D47" s="60">
        <f>'Lägg in data här'!E42*'Lägg in data här'!F42</f>
        <v>0</v>
      </c>
      <c r="E47" s="88">
        <f>'Lägg in data här'!E42*'Lägg in data här'!G42</f>
        <v>0</v>
      </c>
      <c r="F47" s="25"/>
      <c r="G47" s="53"/>
      <c r="H47" s="55" t="s">
        <v>330</v>
      </c>
      <c r="I47" s="55" t="s">
        <v>210</v>
      </c>
    </row>
    <row r="48" spans="3:11" ht="30" customHeight="1" x14ac:dyDescent="0.25">
      <c r="C48" s="58" t="str">
        <f>'Lägg in data här'!D43</f>
        <v>Fordonsgas, externt producerad [kg]</v>
      </c>
      <c r="D48" s="60">
        <f>'Lägg in data här'!E43*'Lägg in data här'!F43</f>
        <v>0</v>
      </c>
      <c r="E48" s="88">
        <f>'Lägg in data här'!E43*'Lägg in data här'!G43</f>
        <v>0</v>
      </c>
      <c r="F48" s="25"/>
      <c r="G48" s="53"/>
      <c r="H48" s="103" t="s">
        <v>211</v>
      </c>
      <c r="I48" s="88">
        <f>IF('Lägg in data här'!C87=0,'Lägg in data här'!C90*Referenser!C95,'Lägg in data här'!C87*Referenser!C95)</f>
        <v>0</v>
      </c>
      <c r="K48" s="68"/>
    </row>
    <row r="49" spans="2:11" ht="30" customHeight="1" x14ac:dyDescent="0.25">
      <c r="C49" s="105" t="str">
        <f>'Lägg in data här'!D44</f>
        <v>Annan</v>
      </c>
      <c r="D49" s="60">
        <f>'Lägg in data här'!E44*'Lägg in data här'!F44</f>
        <v>0</v>
      </c>
      <c r="E49" s="88">
        <f>'Lägg in data här'!E44*'Lägg in data här'!G44</f>
        <v>0</v>
      </c>
      <c r="F49" s="25"/>
      <c r="G49" s="53"/>
      <c r="H49" s="103" t="s">
        <v>212</v>
      </c>
      <c r="I49" s="88">
        <f>IF('Lägg in data här'!C94=0,'Lägg in data här'!C96*Referenser!C96,'Lägg in data här'!C94*Referenser!C96)</f>
        <v>0</v>
      </c>
      <c r="K49" s="68"/>
    </row>
    <row r="50" spans="2:11" ht="30" customHeight="1" x14ac:dyDescent="0.25">
      <c r="C50" s="105" t="str">
        <f>'Lägg in data här'!D45</f>
        <v>Annan</v>
      </c>
      <c r="D50" s="60">
        <f>'Lägg in data här'!E45*'Lägg in data här'!F45</f>
        <v>0</v>
      </c>
      <c r="E50" s="88">
        <f>'Lägg in data här'!E45*'Lägg in data här'!G45</f>
        <v>0</v>
      </c>
      <c r="F50" s="25"/>
      <c r="G50" s="53"/>
      <c r="H50" s="103" t="s">
        <v>213</v>
      </c>
      <c r="I50" s="88">
        <f>IF('Lägg in data här'!C103=0,('Lägg in data här'!C108+'Lägg in data här'!C113)*Referenser!C96,'Lägg in data här'!C103*Referenser!C96)</f>
        <v>0</v>
      </c>
      <c r="K50" s="68"/>
    </row>
    <row r="51" spans="2:11" ht="30" customHeight="1" x14ac:dyDescent="0.25">
      <c r="F51" s="25"/>
      <c r="G51" s="53"/>
      <c r="H51" s="103" t="s">
        <v>217</v>
      </c>
      <c r="I51" s="88">
        <f>IF('Lägg in data här'!H91=0,'Lägg in data här'!H95*Referenser!C95,'Lägg in data här'!H91*Referenser!C95)</f>
        <v>0</v>
      </c>
      <c r="K51" s="68"/>
    </row>
    <row r="52" spans="2:11" ht="30" customHeight="1" x14ac:dyDescent="0.25">
      <c r="F52" s="25"/>
      <c r="G52" s="53"/>
      <c r="H52" s="103" t="s">
        <v>415</v>
      </c>
      <c r="I52" s="88">
        <f>'Lägg in data här'!H92*Referenser!C96</f>
        <v>0</v>
      </c>
      <c r="K52" s="68"/>
    </row>
    <row r="53" spans="2:11" ht="30" customHeight="1" x14ac:dyDescent="0.25">
      <c r="C53" s="170"/>
      <c r="D53" s="28"/>
      <c r="E53" s="93"/>
      <c r="F53" s="25"/>
      <c r="G53" s="53"/>
      <c r="H53" s="103" t="s">
        <v>218</v>
      </c>
      <c r="I53" s="88">
        <f>'Lägg in data här'!H106*Referenser!C95</f>
        <v>0</v>
      </c>
      <c r="K53" s="68"/>
    </row>
    <row r="54" spans="2:11" ht="30" customHeight="1" x14ac:dyDescent="0.25">
      <c r="C54" s="170"/>
      <c r="D54" s="28"/>
      <c r="E54" s="93"/>
      <c r="F54" s="25"/>
      <c r="G54" s="53"/>
      <c r="H54" s="103" t="s">
        <v>219</v>
      </c>
      <c r="I54" s="88">
        <f>'Lägg in data här'!H107*Referenser!C96</f>
        <v>0</v>
      </c>
      <c r="K54" s="68"/>
    </row>
    <row r="55" spans="2:11" ht="30" customHeight="1" x14ac:dyDescent="0.25">
      <c r="B55" s="168"/>
      <c r="C55" s="166"/>
      <c r="D55" s="166"/>
      <c r="E55" s="166"/>
      <c r="F55" s="167"/>
      <c r="G55" s="141"/>
      <c r="H55" s="168"/>
      <c r="I55" s="168"/>
      <c r="J55" s="168"/>
      <c r="K55" s="158"/>
    </row>
    <row r="56" spans="2:11" ht="30" customHeight="1" x14ac:dyDescent="0.25">
      <c r="G56" s="63"/>
      <c r="K56" s="70"/>
    </row>
    <row r="57" spans="2:11" ht="30" customHeight="1" x14ac:dyDescent="0.25">
      <c r="C57" s="77" t="s">
        <v>343</v>
      </c>
      <c r="D57" s="55" t="s">
        <v>214</v>
      </c>
      <c r="E57" s="55" t="s">
        <v>215</v>
      </c>
      <c r="F57" s="55" t="s">
        <v>204</v>
      </c>
      <c r="G57" s="25"/>
      <c r="H57" s="79" t="s">
        <v>411</v>
      </c>
      <c r="I57" s="55" t="s">
        <v>413</v>
      </c>
    </row>
    <row r="58" spans="2:11" ht="30" customHeight="1" x14ac:dyDescent="0.25">
      <c r="C58" s="58" t="str">
        <f>'Lägg in data här för kemikalier'!C10</f>
        <v>Metanol, fossil</v>
      </c>
      <c r="D58" s="88">
        <f>'Lägg in data här för kemikalier'!D10*'Lägg in data här för kemikalier'!G10</f>
        <v>0</v>
      </c>
      <c r="E58" s="60">
        <f>'Lägg in data här för kemikalier'!H10*'Lägg in data här för kemikalier'!D10</f>
        <v>0</v>
      </c>
      <c r="F58" s="88">
        <f>'Lägg in data här för kemikalier'!D10*'Lägg in data här för kemikalier'!E10*'Lägg in data här för kemikalier'!I10</f>
        <v>0</v>
      </c>
      <c r="G58" s="53"/>
      <c r="H58" s="103" t="str">
        <f>'Lägg in data här för kemikalier'!D56</f>
        <v>Dricksvatten 
(för avloppsreningsverk)*</v>
      </c>
      <c r="I58" s="71">
        <f>'Lägg in data här för kemikalier'!E56*'Lägg in data här för kemikalier'!F56</f>
        <v>0</v>
      </c>
    </row>
    <row r="59" spans="2:11" ht="30" customHeight="1" x14ac:dyDescent="0.25">
      <c r="C59" s="58" t="str">
        <f>'Lägg in data här för kemikalier'!C11</f>
        <v>Metanol, biobaserad</v>
      </c>
      <c r="D59" s="88">
        <f>'Lägg in data här för kemikalier'!D11*'Lägg in data här för kemikalier'!G11</f>
        <v>0</v>
      </c>
      <c r="E59" s="60">
        <f>'Lägg in data här för kemikalier'!H11*'Lägg in data här för kemikalier'!D11</f>
        <v>0</v>
      </c>
      <c r="F59" s="88">
        <f>'Lägg in data här för kemikalier'!D11*'Lägg in data här för kemikalier'!E11*'Lägg in data här för kemikalier'!I11</f>
        <v>0</v>
      </c>
      <c r="G59" s="53"/>
    </row>
    <row r="60" spans="2:11" ht="30" customHeight="1" x14ac:dyDescent="0.25">
      <c r="C60" s="58" t="str">
        <f>'Lägg in data här för kemikalier'!C12</f>
        <v>Etanol, fossil</v>
      </c>
      <c r="D60" s="88">
        <f>'Lägg in data här för kemikalier'!D12*'Lägg in data här för kemikalier'!G12</f>
        <v>0</v>
      </c>
      <c r="E60" s="60">
        <f>'Lägg in data här för kemikalier'!H12*'Lägg in data här för kemikalier'!D12</f>
        <v>0</v>
      </c>
      <c r="F60" s="88">
        <f>'Lägg in data här för kemikalier'!D12*'Lägg in data här för kemikalier'!E12*'Lägg in data här för kemikalier'!I12</f>
        <v>0</v>
      </c>
      <c r="G60" s="32"/>
      <c r="H60" s="79" t="s">
        <v>346</v>
      </c>
      <c r="I60" s="55" t="s">
        <v>207</v>
      </c>
      <c r="J60" s="55" t="s">
        <v>204</v>
      </c>
    </row>
    <row r="61" spans="2:11" ht="30" customHeight="1" x14ac:dyDescent="0.25">
      <c r="C61" s="58" t="str">
        <f>'Lägg in data här för kemikalier'!C13</f>
        <v>Etanol, biobaserad</v>
      </c>
      <c r="D61" s="88">
        <f>'Lägg in data här för kemikalier'!D13*'Lägg in data här för kemikalier'!G13</f>
        <v>0</v>
      </c>
      <c r="E61" s="60">
        <f>'Lägg in data här för kemikalier'!H13*'Lägg in data här för kemikalier'!D13</f>
        <v>0</v>
      </c>
      <c r="F61" s="88">
        <f>'Lägg in data här för kemikalier'!D13*'Lägg in data här för kemikalier'!E13*'Lägg in data här för kemikalier'!I13</f>
        <v>0</v>
      </c>
      <c r="G61" s="32"/>
      <c r="H61" s="58" t="str">
        <f>'Lägg in data här för kemikalier'!C60</f>
        <v>Aktivt kol, fossilt ursprung</v>
      </c>
      <c r="I61" s="88">
        <f>'Lägg in data här för kemikalier'!D60*'Lägg in data här för kemikalier'!G60</f>
        <v>0</v>
      </c>
      <c r="J61" s="88">
        <f>'Lägg in data här för kemikalier'!D60*'Lägg in data här för kemikalier'!E60*'Lägg in data här för kemikalier'!H60</f>
        <v>0</v>
      </c>
    </row>
    <row r="62" spans="2:11" ht="30" customHeight="1" x14ac:dyDescent="0.25">
      <c r="C62" s="58" t="str">
        <f>'Lägg in data här för kemikalier'!C14</f>
        <v>Sekundol/isopropanol</v>
      </c>
      <c r="D62" s="88">
        <f>'Lägg in data här för kemikalier'!D14*'Lägg in data här för kemikalier'!G14</f>
        <v>0</v>
      </c>
      <c r="E62" s="60">
        <f>'Lägg in data här för kemikalier'!H14*'Lägg in data här för kemikalier'!D14</f>
        <v>0</v>
      </c>
      <c r="F62" s="88">
        <f>'Lägg in data här för kemikalier'!D14*'Lägg in data här för kemikalier'!E14*'Lägg in data här för kemikalier'!I14</f>
        <v>0</v>
      </c>
      <c r="G62" s="25"/>
      <c r="H62" s="58" t="str">
        <f>'Lägg in data här för kemikalier'!C61</f>
        <v>Aktivt kol, reaktiverat</v>
      </c>
      <c r="I62" s="88">
        <f>'Lägg in data här för kemikalier'!D61*'Lägg in data här för kemikalier'!G61</f>
        <v>0</v>
      </c>
      <c r="J62" s="88">
        <f>'Lägg in data här för kemikalier'!D61*'Lägg in data här för kemikalier'!E61*'Lägg in data här för kemikalier'!H61</f>
        <v>0</v>
      </c>
    </row>
    <row r="63" spans="2:11" ht="30" customHeight="1" x14ac:dyDescent="0.25">
      <c r="C63" s="58" t="str">
        <f>'Lägg in data här för kemikalier'!C15</f>
        <v>Brenntaplus</v>
      </c>
      <c r="D63" s="88">
        <f>'Lägg in data här för kemikalier'!D15*'Lägg in data här för kemikalier'!G15</f>
        <v>0</v>
      </c>
      <c r="E63" s="60">
        <f>'Lägg in data här för kemikalier'!H15*'Lägg in data här för kemikalier'!D15</f>
        <v>0</v>
      </c>
      <c r="F63" s="88">
        <f>'Lägg in data här för kemikalier'!D15*'Lägg in data här för kemikalier'!E15*'Lägg in data här för kemikalier'!I15</f>
        <v>0</v>
      </c>
      <c r="G63" s="25"/>
      <c r="H63" s="58" t="str">
        <f>'Lägg in data här för kemikalier'!C62</f>
        <v>Sand</v>
      </c>
      <c r="I63" s="88">
        <f>'Lägg in data här för kemikalier'!D62*'Lägg in data här för kemikalier'!G62</f>
        <v>0</v>
      </c>
      <c r="J63" s="88">
        <f>'Lägg in data här för kemikalier'!D62*'Lägg in data här för kemikalier'!E62*'Lägg in data här för kemikalier'!H62</f>
        <v>0</v>
      </c>
    </row>
    <row r="64" spans="2:11" ht="30" customHeight="1" x14ac:dyDescent="0.25">
      <c r="C64" s="58" t="str">
        <f>'Lägg in data här för kemikalier'!C16</f>
        <v>Annan</v>
      </c>
      <c r="D64" s="88">
        <f>'Lägg in data här för kemikalier'!D16*'Lägg in data här för kemikalier'!G16</f>
        <v>0</v>
      </c>
      <c r="E64" s="60">
        <f>'Lägg in data här för kemikalier'!H16*'Lägg in data här för kemikalier'!D16</f>
        <v>0</v>
      </c>
      <c r="F64" s="88">
        <f>'Lägg in data här för kemikalier'!D16*'Lägg in data här för kemikalier'!E16*'Lägg in data här för kemikalier'!I16</f>
        <v>0</v>
      </c>
      <c r="G64" s="25"/>
      <c r="H64" s="58" t="str">
        <f>'Lägg in data här för kemikalier'!C63</f>
        <v>Bränd kalk (CaO)</v>
      </c>
      <c r="I64" s="88">
        <f>'Lägg in data här för kemikalier'!D63*'Lägg in data här för kemikalier'!G63</f>
        <v>0</v>
      </c>
      <c r="J64" s="88">
        <f>'Lägg in data här för kemikalier'!D63*'Lägg in data här för kemikalier'!E63*'Lägg in data här för kemikalier'!H63</f>
        <v>0</v>
      </c>
    </row>
    <row r="65" spans="3:10" ht="30" customHeight="1" x14ac:dyDescent="0.25">
      <c r="C65" s="58" t="str">
        <f>'Lägg in data här för kemikalier'!C17</f>
        <v>Annan</v>
      </c>
      <c r="D65" s="88">
        <f>'Lägg in data här för kemikalier'!D17*'Lägg in data här för kemikalier'!G17</f>
        <v>0</v>
      </c>
      <c r="E65" s="60">
        <f>'Lägg in data här för kemikalier'!H17*'Lägg in data här för kemikalier'!D17</f>
        <v>0</v>
      </c>
      <c r="F65" s="88">
        <f>'Lägg in data här för kemikalier'!D17*'Lägg in data här för kemikalier'!E17*'Lägg in data här för kemikalier'!I17</f>
        <v>0</v>
      </c>
      <c r="G65" s="25"/>
      <c r="H65" s="58" t="str">
        <f>'Lägg in data här för kemikalier'!C64</f>
        <v>Släckt kalk (Ca(OH)2)</v>
      </c>
      <c r="I65" s="88">
        <f>'Lägg in data här för kemikalier'!D64*'Lägg in data här för kemikalier'!G64</f>
        <v>0</v>
      </c>
      <c r="J65" s="88">
        <f>'Lägg in data här för kemikalier'!D64*'Lägg in data här för kemikalier'!E64*'Lägg in data här för kemikalier'!H64</f>
        <v>0</v>
      </c>
    </row>
    <row r="66" spans="3:10" ht="30" customHeight="1" x14ac:dyDescent="0.25">
      <c r="G66" s="25"/>
      <c r="H66" s="58" t="str">
        <f>'Lägg in data här för kemikalier'!C65</f>
        <v>Kalksten (CaCO3)</v>
      </c>
      <c r="I66" s="88">
        <f>'Lägg in data här för kemikalier'!D65*'Lägg in data här för kemikalier'!G65</f>
        <v>0</v>
      </c>
      <c r="J66" s="88">
        <f>'Lägg in data här för kemikalier'!D65*'Lägg in data här för kemikalier'!E65*'Lägg in data här för kemikalier'!H65</f>
        <v>0</v>
      </c>
    </row>
    <row r="67" spans="3:10" ht="30" customHeight="1" x14ac:dyDescent="0.25">
      <c r="C67" s="55" t="s">
        <v>344</v>
      </c>
      <c r="D67" s="79" t="s">
        <v>207</v>
      </c>
      <c r="E67" s="79" t="s">
        <v>204</v>
      </c>
      <c r="G67" s="25"/>
      <c r="H67" s="58" t="str">
        <f>'Lägg in data här för kemikalier'!C66</f>
        <v>Natriumhydroxid (50 %)</v>
      </c>
      <c r="I67" s="88">
        <f>'Lägg in data här för kemikalier'!D66*'Lägg in data här för kemikalier'!G66</f>
        <v>0</v>
      </c>
      <c r="J67" s="88">
        <f>'Lägg in data här för kemikalier'!D66*'Lägg in data här för kemikalier'!E66*'Lägg in data här för kemikalier'!H66</f>
        <v>0</v>
      </c>
    </row>
    <row r="68" spans="3:10" ht="30" customHeight="1" x14ac:dyDescent="0.25">
      <c r="C68" s="58" t="str">
        <f>'Lägg in data här för kemikalier'!C23</f>
        <v>Järnklorid (PIX-111)</v>
      </c>
      <c r="D68" s="88">
        <f>'Lägg in data här för kemikalier'!D23*'Lägg in data här för kemikalier'!G23</f>
        <v>0</v>
      </c>
      <c r="E68" s="88">
        <f>'Lägg in data här för kemikalier'!D23*'Lägg in data här för kemikalier'!E23*'Lägg in data här för kemikalier'!H23</f>
        <v>0</v>
      </c>
      <c r="G68" s="70"/>
      <c r="H68" s="58" t="str">
        <f>'Lägg in data här för kemikalier'!C67</f>
        <v xml:space="preserve">Klor </v>
      </c>
      <c r="I68" s="88">
        <f>'Lägg in data här för kemikalier'!D67*'Lägg in data här för kemikalier'!G67</f>
        <v>0</v>
      </c>
      <c r="J68" s="88">
        <f>'Lägg in data här för kemikalier'!D67*'Lägg in data här för kemikalier'!E67*'Lägg in data här för kemikalier'!H67</f>
        <v>0</v>
      </c>
    </row>
    <row r="69" spans="3:10" ht="30" customHeight="1" x14ac:dyDescent="0.25">
      <c r="C69" s="58" t="str">
        <f>'Lägg in data här för kemikalier'!C24</f>
        <v>Järnklorid (Plusjärn S 314)</v>
      </c>
      <c r="D69" s="88">
        <f>'Lägg in data här för kemikalier'!D24*'Lägg in data här för kemikalier'!G24</f>
        <v>0</v>
      </c>
      <c r="E69" s="88">
        <f>'Lägg in data här för kemikalier'!D24*'Lägg in data här för kemikalier'!E24*'Lägg in data här för kemikalier'!H24</f>
        <v>0</v>
      </c>
      <c r="G69" s="70"/>
      <c r="H69" s="58" t="str">
        <f>'Lägg in data här för kemikalier'!C68</f>
        <v>Natriumhypoklorit (50%)</v>
      </c>
      <c r="I69" s="88">
        <f>'Lägg in data här för kemikalier'!D68*'Lägg in data här för kemikalier'!G68</f>
        <v>0</v>
      </c>
      <c r="J69" s="88">
        <f>'Lägg in data här för kemikalier'!D68*'Lägg in data här för kemikalier'!E68*'Lägg in data här för kemikalier'!H68</f>
        <v>0</v>
      </c>
    </row>
    <row r="70" spans="3:10" ht="30" customHeight="1" x14ac:dyDescent="0.25">
      <c r="C70" s="58" t="str">
        <f>'Lägg in data här för kemikalier'!C25</f>
        <v>Järnsulfat 
(tvåvärd, t.ex. Quickfloc)</v>
      </c>
      <c r="D70" s="88">
        <f>'Lägg in data här för kemikalier'!D25*'Lägg in data här för kemikalier'!G25</f>
        <v>0</v>
      </c>
      <c r="E70" s="88">
        <f>'Lägg in data här för kemikalier'!D25*'Lägg in data här för kemikalier'!E25*'Lägg in data här för kemikalier'!H25</f>
        <v>0</v>
      </c>
      <c r="G70" s="70"/>
      <c r="H70" s="58" t="str">
        <f>'Lägg in data här för kemikalier'!C69</f>
        <v>Väteperoxid (49%)</v>
      </c>
      <c r="I70" s="88">
        <f>'Lägg in data här för kemikalier'!D69*'Lägg in data här för kemikalier'!G69</f>
        <v>0</v>
      </c>
      <c r="J70" s="88">
        <f>'Lägg in data här för kemikalier'!D69*'Lägg in data här för kemikalier'!E69*'Lägg in data här för kemikalier'!H69</f>
        <v>0</v>
      </c>
    </row>
    <row r="71" spans="3:10" ht="30" customHeight="1" x14ac:dyDescent="0.25">
      <c r="C71" s="58" t="str">
        <f>'Lägg in data här för kemikalier'!C26</f>
        <v>Järnsulfat (PIX-113)</v>
      </c>
      <c r="D71" s="88">
        <f>'Lägg in data här för kemikalier'!D26*'Lägg in data här för kemikalier'!G26</f>
        <v>0</v>
      </c>
      <c r="E71" s="88">
        <f>'Lägg in data här för kemikalier'!D26*'Lägg in data här för kemikalier'!E26*'Lägg in data här för kemikalier'!H26</f>
        <v>0</v>
      </c>
      <c r="G71" s="70"/>
      <c r="H71" s="58" t="str">
        <f>'Lägg in data här för kemikalier'!C70</f>
        <v>Svavelsyra (96%)</v>
      </c>
      <c r="I71" s="88">
        <f>'Lägg in data här för kemikalier'!D70*'Lägg in data här för kemikalier'!G70</f>
        <v>0</v>
      </c>
      <c r="J71" s="88">
        <f>'Lägg in data här för kemikalier'!D70*'Lägg in data här för kemikalier'!E70*'Lägg in data här för kemikalier'!H70</f>
        <v>0</v>
      </c>
    </row>
    <row r="72" spans="3:10" ht="30" customHeight="1" x14ac:dyDescent="0.25">
      <c r="C72" s="58" t="str">
        <f>'Lägg in data här för kemikalier'!C27</f>
        <v>Järnkloridsulfat (PIX-118)</v>
      </c>
      <c r="D72" s="88">
        <f>'Lägg in data här för kemikalier'!D27*'Lägg in data här för kemikalier'!G27</f>
        <v>0</v>
      </c>
      <c r="E72" s="88">
        <f>'Lägg in data här för kemikalier'!D27*'Lägg in data här för kemikalier'!E27*'Lägg in data här för kemikalier'!H27</f>
        <v>0</v>
      </c>
      <c r="G72" s="70"/>
      <c r="H72" s="58" t="str">
        <f>'Lägg in data här för kemikalier'!C71</f>
        <v>Saltsyra (32%)</v>
      </c>
      <c r="I72" s="88">
        <f>'Lägg in data här för kemikalier'!D71*'Lägg in data här för kemikalier'!G71</f>
        <v>0</v>
      </c>
      <c r="J72" s="88">
        <f>'Lägg in data här för kemikalier'!D71*'Lägg in data här för kemikalier'!E71*'Lägg in data här för kemikalier'!H71</f>
        <v>0</v>
      </c>
    </row>
    <row r="73" spans="3:10" ht="30" customHeight="1" x14ac:dyDescent="0.25">
      <c r="C73" s="58" t="str">
        <f>'Lägg in data här för kemikalier'!C28</f>
        <v>Aluminiumjärnklorid 
(Ekomix 1091)</v>
      </c>
      <c r="D73" s="88">
        <f>'Lägg in data här för kemikalier'!D28*'Lägg in data här för kemikalier'!G28</f>
        <v>0</v>
      </c>
      <c r="E73" s="88">
        <f>'Lägg in data här för kemikalier'!D28*'Lägg in data här för kemikalier'!E28*'Lägg in data här för kemikalier'!H28</f>
        <v>0</v>
      </c>
      <c r="G73" s="70"/>
      <c r="H73" s="58" t="str">
        <f>'Lägg in data här för kemikalier'!C72</f>
        <v>Salpetersyra (60%)</v>
      </c>
      <c r="I73" s="88">
        <f>'Lägg in data här för kemikalier'!D72*'Lägg in data här för kemikalier'!G72</f>
        <v>0</v>
      </c>
      <c r="J73" s="88">
        <f>'Lägg in data här för kemikalier'!D72*'Lägg in data här för kemikalier'!E72*'Lägg in data här för kemikalier'!H72</f>
        <v>0</v>
      </c>
    </row>
    <row r="74" spans="3:10" ht="30" customHeight="1" x14ac:dyDescent="0.25">
      <c r="C74" s="58" t="str">
        <f>'Lägg in data här för kemikalier'!C29</f>
        <v>Aluminiumsulfat (ALG)</v>
      </c>
      <c r="D74" s="88">
        <f>'Lägg in data här för kemikalier'!D29*'Lägg in data här för kemikalier'!G29</f>
        <v>0</v>
      </c>
      <c r="E74" s="88">
        <f>'Lägg in data här för kemikalier'!D29*'Lägg in data här för kemikalier'!E29*'Lägg in data här för kemikalier'!H29</f>
        <v>0</v>
      </c>
      <c r="G74" s="70"/>
      <c r="H74" s="58" t="str">
        <f>'Lägg in data här för kemikalier'!C73</f>
        <v>Ammoniumsulfat</v>
      </c>
      <c r="I74" s="88">
        <f>'Lägg in data här för kemikalier'!D73*'Lägg in data här för kemikalier'!G73</f>
        <v>0</v>
      </c>
      <c r="J74" s="88">
        <f>'Lägg in data här för kemikalier'!D73*'Lägg in data här för kemikalier'!E73*'Lägg in data här för kemikalier'!H73</f>
        <v>0</v>
      </c>
    </row>
    <row r="75" spans="3:10" ht="30" customHeight="1" x14ac:dyDescent="0.25">
      <c r="C75" s="58" t="str">
        <f>'Lägg in data här för kemikalier'!C30</f>
        <v>PAC (Ekoflock 54)</v>
      </c>
      <c r="D75" s="88">
        <f>'Lägg in data här för kemikalier'!D30*'Lägg in data här för kemikalier'!G30</f>
        <v>0</v>
      </c>
      <c r="E75" s="88">
        <f>'Lägg in data här för kemikalier'!D30*'Lägg in data här för kemikalier'!E30*'Lägg in data här för kemikalier'!H30</f>
        <v>0</v>
      </c>
      <c r="F75" s="70"/>
      <c r="G75" s="70"/>
      <c r="H75" s="58" t="str">
        <f>'Lägg in data här för kemikalier'!C74</f>
        <v>Syrgas</v>
      </c>
      <c r="I75" s="88">
        <f>'Lägg in data här för kemikalier'!D74*'Lägg in data här för kemikalier'!G74</f>
        <v>0</v>
      </c>
      <c r="J75" s="88">
        <f>'Lägg in data här för kemikalier'!D74*'Lägg in data här för kemikalier'!E74*'Lägg in data här för kemikalier'!H74</f>
        <v>0</v>
      </c>
    </row>
    <row r="76" spans="3:10" ht="30" customHeight="1" x14ac:dyDescent="0.25">
      <c r="C76" s="58" t="str">
        <f>'Lägg in data här för kemikalier'!C31</f>
        <v>PAC (Ekoflock 70)</v>
      </c>
      <c r="D76" s="88">
        <f>'Lägg in data här för kemikalier'!D31*'Lägg in data här för kemikalier'!G31</f>
        <v>0</v>
      </c>
      <c r="E76" s="88">
        <f>'Lägg in data här för kemikalier'!D31*'Lägg in data här för kemikalier'!E31*'Lägg in data här för kemikalier'!H31</f>
        <v>0</v>
      </c>
      <c r="F76" s="70"/>
      <c r="G76" s="70"/>
      <c r="H76" s="58" t="str">
        <f>'Lägg in data här för kemikalier'!C75</f>
        <v>Natriumsilikat</v>
      </c>
      <c r="I76" s="88">
        <f>'Lägg in data här för kemikalier'!D75*'Lägg in data här för kemikalier'!G75</f>
        <v>0</v>
      </c>
      <c r="J76" s="88">
        <f>'Lägg in data här för kemikalier'!D75*'Lägg in data här för kemikalier'!E75*'Lägg in data här för kemikalier'!H75</f>
        <v>0</v>
      </c>
    </row>
    <row r="77" spans="3:10" ht="30" customHeight="1" x14ac:dyDescent="0.25">
      <c r="C77" s="58" t="str">
        <f>'Lägg in data här för kemikalier'!C32</f>
        <v>PAC (Ekoflock 75)</v>
      </c>
      <c r="D77" s="88">
        <f>'Lägg in data här för kemikalier'!D32*'Lägg in data här för kemikalier'!G32</f>
        <v>0</v>
      </c>
      <c r="E77" s="88">
        <f>'Lägg in data här för kemikalier'!D32*'Lägg in data här för kemikalier'!E32*'Lägg in data här för kemikalier'!H32</f>
        <v>0</v>
      </c>
      <c r="F77" s="70"/>
      <c r="G77" s="70"/>
      <c r="H77" s="58" t="str">
        <f>'Lägg in data här för kemikalier'!C76</f>
        <v>Natriumkarbonat</v>
      </c>
      <c r="I77" s="88">
        <f>'Lägg in data här för kemikalier'!D76*'Lägg in data här för kemikalier'!G76</f>
        <v>0</v>
      </c>
      <c r="J77" s="88">
        <f>'Lägg in data här för kemikalier'!D76*'Lägg in data här för kemikalier'!E76*'Lägg in data här för kemikalier'!H76</f>
        <v>0</v>
      </c>
    </row>
    <row r="78" spans="3:10" ht="30" customHeight="1" x14ac:dyDescent="0.25">
      <c r="C78" s="58" t="str">
        <f>'Lägg in data här för kemikalier'!C33</f>
        <v>PAC (Ekoflock 90, 91, 92)</v>
      </c>
      <c r="D78" s="88">
        <f>'Lägg in data här för kemikalier'!D33*'Lägg in data här för kemikalier'!G33</f>
        <v>0</v>
      </c>
      <c r="E78" s="88">
        <f>'Lägg in data här för kemikalier'!D33*'Lägg in data här för kemikalier'!E33*'Lägg in data här för kemikalier'!H33</f>
        <v>0</v>
      </c>
      <c r="F78" s="70"/>
      <c r="G78" s="70"/>
      <c r="H78" s="58" t="str">
        <f>'Lägg in data här för kemikalier'!C77</f>
        <v>Koldioxid</v>
      </c>
      <c r="I78" s="88">
        <f>'Lägg in data här för kemikalier'!D77*'Lägg in data här för kemikalier'!G77</f>
        <v>0</v>
      </c>
      <c r="J78" s="88">
        <f>'Lägg in data här för kemikalier'!D77*'Lägg in data här för kemikalier'!E77*'Lägg in data här för kemikalier'!H77</f>
        <v>0</v>
      </c>
    </row>
    <row r="79" spans="3:10" ht="30" customHeight="1" x14ac:dyDescent="0.25">
      <c r="C79" s="58" t="str">
        <f>'Lägg in data här för kemikalier'!C34</f>
        <v>PAC (Ekoflock 96)</v>
      </c>
      <c r="D79" s="88">
        <f>'Lägg in data här för kemikalier'!D34*'Lägg in data här för kemikalier'!G34</f>
        <v>0</v>
      </c>
      <c r="E79" s="88">
        <f>'Lägg in data här för kemikalier'!D34*'Lägg in data här för kemikalier'!E34*'Lägg in data här för kemikalier'!H34</f>
        <v>0</v>
      </c>
      <c r="F79" s="70"/>
      <c r="G79" s="70"/>
      <c r="H79" s="58" t="str">
        <f>'Lägg in data här för kemikalier'!C78</f>
        <v>Natriumbisulfit</v>
      </c>
      <c r="I79" s="88">
        <f>'Lägg in data här för kemikalier'!D78*'Lägg in data här för kemikalier'!G78</f>
        <v>0</v>
      </c>
      <c r="J79" s="88">
        <f>'Lägg in data här för kemikalier'!D78*'Lägg in data här för kemikalier'!E78*'Lägg in data här för kemikalier'!H78</f>
        <v>0</v>
      </c>
    </row>
    <row r="80" spans="3:10" ht="30" customHeight="1" x14ac:dyDescent="0.25">
      <c r="C80" s="58" t="str">
        <f>'Lägg in data här för kemikalier'!C35</f>
        <v>PAC (Pluspac S 1465)</v>
      </c>
      <c r="D80" s="88">
        <f>'Lägg in data här för kemikalier'!D35*'Lägg in data här för kemikalier'!G35</f>
        <v>0</v>
      </c>
      <c r="E80" s="88">
        <f>'Lägg in data här för kemikalier'!D35*'Lägg in data här för kemikalier'!E35*'Lägg in data här för kemikalier'!H35</f>
        <v>0</v>
      </c>
      <c r="F80" s="70"/>
      <c r="H80" s="58" t="str">
        <f>'Lägg in data här för kemikalier'!C79</f>
        <v>Citronsyra</v>
      </c>
      <c r="I80" s="88">
        <f>'Lägg in data här för kemikalier'!D79*'Lägg in data här för kemikalier'!G79</f>
        <v>0</v>
      </c>
      <c r="J80" s="88">
        <f>'Lägg in data här för kemikalier'!D79*'Lägg in data här för kemikalier'!E79*'Lägg in data här för kemikalier'!H79</f>
        <v>0</v>
      </c>
    </row>
    <row r="81" spans="3:11" ht="30" customHeight="1" x14ac:dyDescent="0.25">
      <c r="C81" s="58" t="str">
        <f>'Lägg in data här för kemikalier'!C36</f>
        <v>PAC (PAX-15)</v>
      </c>
      <c r="D81" s="88">
        <f>'Lägg in data här för kemikalier'!D36*'Lägg in data här för kemikalier'!G36</f>
        <v>0</v>
      </c>
      <c r="E81" s="88">
        <f>'Lägg in data här för kemikalier'!D36*'Lägg in data här för kemikalier'!E36*'Lägg in data här för kemikalier'!H36</f>
        <v>0</v>
      </c>
      <c r="F81" s="70"/>
      <c r="H81" s="58" t="str">
        <f>'Lägg in data här för kemikalier'!C80</f>
        <v>Kalciumnitrat</v>
      </c>
      <c r="I81" s="88">
        <f>'Lägg in data här för kemikalier'!D80*'Lägg in data här för kemikalier'!G80</f>
        <v>0</v>
      </c>
      <c r="J81" s="88">
        <f>'Lägg in data här för kemikalier'!D80*'Lägg in data här för kemikalier'!E80*'Lägg in data här för kemikalier'!H80</f>
        <v>0</v>
      </c>
    </row>
    <row r="82" spans="3:11" ht="30" customHeight="1" x14ac:dyDescent="0.25">
      <c r="C82" s="58" t="str">
        <f>'Lägg in data här för kemikalier'!C37</f>
        <v>PAC (PAX-215)</v>
      </c>
      <c r="D82" s="88">
        <f>'Lägg in data här för kemikalier'!D37*'Lägg in data här för kemikalier'!G37</f>
        <v>0</v>
      </c>
      <c r="E82" s="88">
        <f>'Lägg in data här för kemikalier'!D37*'Lägg in data här för kemikalier'!E37*'Lägg in data här för kemikalier'!H37</f>
        <v>0</v>
      </c>
      <c r="F82" s="70"/>
      <c r="H82" s="105" t="str">
        <f>'Lägg in data här för kemikalier'!C81</f>
        <v>Annan</v>
      </c>
      <c r="I82" s="88">
        <f>'Lägg in data här för kemikalier'!D81*'Lägg in data här för kemikalier'!G81</f>
        <v>0</v>
      </c>
      <c r="J82" s="88">
        <f>'Lägg in data här för kemikalier'!D81*'Lägg in data här för kemikalier'!E81*'Lägg in data här för kemikalier'!H81</f>
        <v>0</v>
      </c>
    </row>
    <row r="83" spans="3:11" ht="30" customHeight="1" x14ac:dyDescent="0.25">
      <c r="C83" s="58" t="str">
        <f>'Lägg in data här för kemikalier'!C38</f>
        <v>PAC (PAX-XL60)</v>
      </c>
      <c r="D83" s="88">
        <f>'Lägg in data här för kemikalier'!D38*'Lägg in data här för kemikalier'!G38</f>
        <v>0</v>
      </c>
      <c r="E83" s="88">
        <f>'Lägg in data här för kemikalier'!D38*'Lägg in data här för kemikalier'!E38*'Lägg in data här för kemikalier'!H38</f>
        <v>0</v>
      </c>
      <c r="F83" s="70"/>
      <c r="H83" s="105" t="str">
        <f>'Lägg in data här för kemikalier'!C82</f>
        <v>Annan</v>
      </c>
      <c r="I83" s="88">
        <f>'Lägg in data här för kemikalier'!D82*'Lägg in data här för kemikalier'!G82</f>
        <v>0</v>
      </c>
      <c r="J83" s="88">
        <f>'Lägg in data här för kemikalier'!D82*'Lägg in data här för kemikalier'!E82*'Lägg in data här för kemikalier'!H82</f>
        <v>0</v>
      </c>
    </row>
    <row r="84" spans="3:11" ht="30" customHeight="1" x14ac:dyDescent="0.25">
      <c r="C84" s="58" t="str">
        <f>'Lägg in data här för kemikalier'!C39</f>
        <v>PAC (PAX-XL260)</v>
      </c>
      <c r="D84" s="88">
        <f>'Lägg in data här för kemikalier'!D39*'Lägg in data här för kemikalier'!G39</f>
        <v>0</v>
      </c>
      <c r="E84" s="88">
        <f>'Lägg in data här för kemikalier'!D39*'Lägg in data här för kemikalier'!E39*'Lägg in data här för kemikalier'!H39</f>
        <v>0</v>
      </c>
      <c r="F84" s="70"/>
      <c r="H84" s="105" t="str">
        <f>'Lägg in data här för kemikalier'!C83</f>
        <v>Annan</v>
      </c>
      <c r="I84" s="88">
        <f>'Lägg in data här för kemikalier'!D83*'Lägg in data här för kemikalier'!G83</f>
        <v>0</v>
      </c>
      <c r="J84" s="88">
        <f>'Lägg in data här för kemikalier'!D83*'Lägg in data här för kemikalier'!E83*'Lägg in data här för kemikalier'!H83</f>
        <v>0</v>
      </c>
      <c r="K84" s="28"/>
    </row>
    <row r="85" spans="3:11" ht="30" customHeight="1" x14ac:dyDescent="0.25">
      <c r="C85" s="58" t="str">
        <f>'Lägg in data här för kemikalier'!C40</f>
        <v>PAC (PAX-XL100)</v>
      </c>
      <c r="D85" s="88">
        <f>'Lägg in data här för kemikalier'!D40*'Lägg in data här för kemikalier'!G40</f>
        <v>0</v>
      </c>
      <c r="E85" s="88">
        <f>'Lägg in data här för kemikalier'!D40*'Lägg in data här för kemikalier'!E40*'Lägg in data här för kemikalier'!H40</f>
        <v>0</v>
      </c>
      <c r="F85" s="70"/>
      <c r="H85" s="105" t="str">
        <f>'Lägg in data här för kemikalier'!C84</f>
        <v>Annan</v>
      </c>
      <c r="I85" s="88">
        <f>'Lägg in data här för kemikalier'!D84*'Lägg in data här för kemikalier'!G84</f>
        <v>0</v>
      </c>
      <c r="J85" s="88">
        <f>'Lägg in data här för kemikalier'!D84*'Lägg in data här för kemikalier'!E84*'Lägg in data här för kemikalier'!H84</f>
        <v>0</v>
      </c>
      <c r="K85" s="28"/>
    </row>
    <row r="86" spans="3:11" ht="30" customHeight="1" x14ac:dyDescent="0.25">
      <c r="C86" s="105" t="str">
        <f>'Lägg in data här för kemikalier'!C41</f>
        <v>Annan</v>
      </c>
      <c r="D86" s="88">
        <f>'Lägg in data här för kemikalier'!D41*'Lägg in data här för kemikalier'!G41</f>
        <v>0</v>
      </c>
      <c r="E86" s="88">
        <f>'Lägg in data här för kemikalier'!D41*'Lägg in data här för kemikalier'!E41*'Lägg in data här för kemikalier'!H41</f>
        <v>0</v>
      </c>
      <c r="F86" s="70"/>
    </row>
    <row r="87" spans="3:11" ht="30" customHeight="1" x14ac:dyDescent="0.25">
      <c r="C87" s="105" t="str">
        <f>'Lägg in data här för kemikalier'!C42</f>
        <v>Annan</v>
      </c>
      <c r="D87" s="88">
        <f>'Lägg in data här för kemikalier'!D42*'Lägg in data här för kemikalier'!G42</f>
        <v>0</v>
      </c>
      <c r="E87" s="88">
        <f>'Lägg in data här för kemikalier'!D42*'Lägg in data här för kemikalier'!E42*'Lägg in data här för kemikalier'!H42</f>
        <v>0</v>
      </c>
      <c r="F87" s="70"/>
    </row>
    <row r="88" spans="3:11" ht="30" customHeight="1" x14ac:dyDescent="0.25">
      <c r="F88" s="244"/>
    </row>
    <row r="89" spans="3:11" ht="30" customHeight="1" x14ac:dyDescent="0.25">
      <c r="C89" s="79" t="s">
        <v>345</v>
      </c>
      <c r="D89" s="55" t="s">
        <v>205</v>
      </c>
      <c r="E89" s="55" t="s">
        <v>204</v>
      </c>
      <c r="F89" s="244"/>
    </row>
    <row r="90" spans="3:11" ht="30" customHeight="1" x14ac:dyDescent="0.25">
      <c r="C90" s="103" t="str">
        <f>'Lägg in data här för kemikalier'!C48</f>
        <v>Polyakrylamid (fast produkt)</v>
      </c>
      <c r="D90" s="88">
        <f>'Lägg in data här för kemikalier'!D48*'Lägg in data här för kemikalier'!G48</f>
        <v>0</v>
      </c>
      <c r="E90" s="88">
        <f>'Lägg in data här för kemikalier'!D48*'Lägg in data här för kemikalier'!E48*'Lägg in data här för kemikalier'!H48</f>
        <v>0</v>
      </c>
      <c r="F90" s="244"/>
    </row>
    <row r="91" spans="3:11" ht="30" customHeight="1" x14ac:dyDescent="0.25">
      <c r="C91" s="144" t="str">
        <f>'Lägg in data här för kemikalier'!C49</f>
        <v>Annan</v>
      </c>
      <c r="D91" s="88">
        <f>'Lägg in data här för kemikalier'!D49*'Lägg in data här för kemikalier'!G49</f>
        <v>0</v>
      </c>
      <c r="E91" s="88">
        <f>'Lägg in data här för kemikalier'!D49*'Lägg in data här för kemikalier'!E49*'Lägg in data här för kemikalier'!H49</f>
        <v>0</v>
      </c>
      <c r="F91" s="244"/>
    </row>
    <row r="92" spans="3:11" ht="30" customHeight="1" x14ac:dyDescent="0.25">
      <c r="C92" s="144" t="str">
        <f>'Lägg in data här för kemikalier'!C50</f>
        <v>Annan</v>
      </c>
      <c r="D92" s="88">
        <f>'Lägg in data här för kemikalier'!D50*'Lägg in data här för kemikalier'!G50</f>
        <v>0</v>
      </c>
      <c r="E92" s="88">
        <f>'Lägg in data här för kemikalier'!D50*'Lägg in data här för kemikalier'!E50*'Lägg in data här för kemikalier'!H50</f>
        <v>0</v>
      </c>
      <c r="F92" s="244"/>
    </row>
    <row r="93" spans="3:11" ht="30" customHeight="1" x14ac:dyDescent="0.25">
      <c r="F93" s="70"/>
      <c r="K93" s="68"/>
    </row>
    <row r="94" spans="3:11" ht="30" hidden="1" customHeight="1" x14ac:dyDescent="0.25">
      <c r="F94" s="70"/>
      <c r="K94" s="68"/>
    </row>
    <row r="95" spans="3:11" ht="30" hidden="1" customHeight="1" x14ac:dyDescent="0.25">
      <c r="F95" s="70"/>
      <c r="K95" s="70"/>
    </row>
    <row r="96" spans="3:11" ht="30" hidden="1" customHeight="1" x14ac:dyDescent="0.25">
      <c r="F96" s="70"/>
      <c r="K96" s="70"/>
    </row>
    <row r="97" spans="6:11" ht="30" hidden="1" customHeight="1" x14ac:dyDescent="0.25">
      <c r="F97" s="70"/>
      <c r="K97" s="70"/>
    </row>
    <row r="98" spans="6:11" ht="30" hidden="1" customHeight="1" x14ac:dyDescent="0.25">
      <c r="F98" s="70"/>
      <c r="K98" s="70"/>
    </row>
    <row r="99" spans="6:11" ht="30" hidden="1" customHeight="1" x14ac:dyDescent="0.25">
      <c r="F99" s="70"/>
      <c r="K99" s="70"/>
    </row>
    <row r="100" spans="6:11" ht="30" hidden="1" customHeight="1" x14ac:dyDescent="0.25">
      <c r="F100" s="70"/>
      <c r="K100" s="70"/>
    </row>
    <row r="101" spans="6:11" ht="30" hidden="1" customHeight="1" x14ac:dyDescent="0.25">
      <c r="F101" s="70"/>
      <c r="K101" s="70"/>
    </row>
    <row r="102" spans="6:11" ht="30" hidden="1" customHeight="1" x14ac:dyDescent="0.25">
      <c r="F102" s="70"/>
      <c r="K102" s="70"/>
    </row>
    <row r="103" spans="6:11" ht="30" hidden="1" customHeight="1" x14ac:dyDescent="0.25">
      <c r="F103" s="70"/>
      <c r="K103" s="70"/>
    </row>
    <row r="104" spans="6:11" ht="30" hidden="1" customHeight="1" x14ac:dyDescent="0.25">
      <c r="F104" s="70"/>
      <c r="K104" s="70"/>
    </row>
    <row r="105" spans="6:11" ht="30" hidden="1" customHeight="1" x14ac:dyDescent="0.25">
      <c r="F105" s="70"/>
      <c r="K105" s="70"/>
    </row>
    <row r="106" spans="6:11" ht="30" hidden="1" customHeight="1" x14ac:dyDescent="0.25">
      <c r="F106" s="70"/>
      <c r="K106" s="70"/>
    </row>
    <row r="107" spans="6:11" ht="30" hidden="1" customHeight="1" x14ac:dyDescent="0.25">
      <c r="F107" s="70"/>
      <c r="K107" s="70"/>
    </row>
    <row r="108" spans="6:11" ht="30" hidden="1" customHeight="1" x14ac:dyDescent="0.25">
      <c r="F108" s="70"/>
      <c r="K108" s="70"/>
    </row>
    <row r="109" spans="6:11" ht="30" hidden="1" customHeight="1" x14ac:dyDescent="0.25">
      <c r="F109" s="70"/>
      <c r="K109" s="70"/>
    </row>
    <row r="110" spans="6:11" ht="30" hidden="1" customHeight="1" x14ac:dyDescent="0.25">
      <c r="F110" s="70"/>
      <c r="K110" s="70"/>
    </row>
    <row r="111" spans="6:11" ht="30" hidden="1" customHeight="1" x14ac:dyDescent="0.25">
      <c r="F111" s="70"/>
      <c r="K111" s="70"/>
    </row>
    <row r="112" spans="6:11" ht="30" hidden="1" customHeight="1" x14ac:dyDescent="0.25">
      <c r="F112" s="70"/>
      <c r="K112" s="70"/>
    </row>
    <row r="113" spans="3:11" ht="30" hidden="1" customHeight="1" x14ac:dyDescent="0.25">
      <c r="F113" s="70"/>
      <c r="K113" s="70"/>
    </row>
    <row r="114" spans="3:11" ht="30" hidden="1" customHeight="1" x14ac:dyDescent="0.25">
      <c r="F114" s="70"/>
      <c r="K114" s="70"/>
    </row>
    <row r="115" spans="3:11" ht="30" hidden="1" customHeight="1" x14ac:dyDescent="0.25">
      <c r="F115" s="70"/>
    </row>
    <row r="116" spans="3:11" ht="30" hidden="1" customHeight="1" x14ac:dyDescent="0.25">
      <c r="F116" s="70"/>
      <c r="G116" s="56" t="str">
        <f>'Lägg in data här för kemikalier'!C16</f>
        <v>Annan</v>
      </c>
      <c r="H116" s="71">
        <f>'Lägg in data här för kemikalier'!D16*'Lägg in data här för kemikalier'!G16</f>
        <v>0</v>
      </c>
      <c r="I116" s="60" t="e">
        <f>'Lägg in data här'!#REF!*'Lägg in data här'!#REF!</f>
        <v>#REF!</v>
      </c>
      <c r="J116" s="71" t="e">
        <f>'Lägg in data här för kemikalier'!#REF!*'Lägg in data här för kemikalier'!I16</f>
        <v>#REF!</v>
      </c>
      <c r="K116" s="70"/>
    </row>
    <row r="117" spans="3:11" ht="30" hidden="1" customHeight="1" x14ac:dyDescent="0.25">
      <c r="F117" s="70"/>
      <c r="G117" s="63"/>
      <c r="H117" s="70"/>
      <c r="I117" s="28"/>
      <c r="J117" s="70"/>
      <c r="K117" s="70"/>
    </row>
    <row r="118" spans="3:11" ht="30" hidden="1" customHeight="1" x14ac:dyDescent="0.25">
      <c r="F118" s="70"/>
      <c r="G118" s="70"/>
    </row>
    <row r="119" spans="3:11" ht="30" hidden="1" customHeight="1" x14ac:dyDescent="0.25">
      <c r="F119" s="70"/>
      <c r="G119" s="70"/>
    </row>
    <row r="120" spans="3:11" ht="30" hidden="1" customHeight="1" x14ac:dyDescent="0.25">
      <c r="F120" s="70"/>
      <c r="G120" s="70"/>
    </row>
    <row r="121" spans="3:11" ht="30" hidden="1" customHeight="1" x14ac:dyDescent="0.25">
      <c r="F121" s="70"/>
      <c r="G121" s="70"/>
    </row>
    <row r="122" spans="3:11" ht="30" hidden="1" customHeight="1" x14ac:dyDescent="0.25">
      <c r="F122" s="70"/>
      <c r="G122" s="70"/>
    </row>
    <row r="123" spans="3:11" ht="30" hidden="1" customHeight="1" x14ac:dyDescent="0.25">
      <c r="F123" s="70"/>
      <c r="G123" s="25"/>
      <c r="H123" s="31"/>
      <c r="I123" s="31"/>
      <c r="J123" s="31"/>
      <c r="K123" s="31"/>
    </row>
    <row r="124" spans="3:11" ht="30" hidden="1" customHeight="1" x14ac:dyDescent="0.25">
      <c r="F124" s="70"/>
      <c r="G124" s="25"/>
      <c r="H124" s="31"/>
      <c r="I124" s="31"/>
      <c r="J124" s="31"/>
      <c r="K124" s="31"/>
    </row>
    <row r="125" spans="3:11" ht="30" hidden="1" customHeight="1" x14ac:dyDescent="0.25">
      <c r="C125" s="70"/>
      <c r="D125" s="70"/>
      <c r="E125" s="70"/>
      <c r="F125" s="70"/>
      <c r="G125" s="25"/>
      <c r="H125" s="31"/>
      <c r="I125" s="31"/>
      <c r="J125" s="31"/>
      <c r="K125" s="31"/>
    </row>
    <row r="126" spans="3:11" ht="30" hidden="1" customHeight="1" x14ac:dyDescent="0.25">
      <c r="C126" s="70"/>
      <c r="D126" s="70"/>
      <c r="E126" s="70"/>
      <c r="F126" s="70"/>
      <c r="G126" s="25"/>
      <c r="H126" s="31"/>
      <c r="I126" s="31"/>
      <c r="J126" s="31"/>
      <c r="K126" s="31"/>
    </row>
    <row r="127" spans="3:11" ht="30" hidden="1" customHeight="1" x14ac:dyDescent="0.25">
      <c r="C127" s="70"/>
      <c r="D127" s="70"/>
      <c r="E127" s="70"/>
      <c r="F127" s="70"/>
      <c r="G127" s="25"/>
      <c r="H127" s="31"/>
      <c r="I127" s="31"/>
      <c r="J127" s="31"/>
      <c r="K127" s="31"/>
    </row>
    <row r="128" spans="3:11" ht="30" hidden="1" customHeight="1" x14ac:dyDescent="0.25">
      <c r="C128" s="70"/>
      <c r="D128" s="70"/>
      <c r="E128" s="70"/>
      <c r="F128" s="70"/>
      <c r="G128" s="25"/>
      <c r="H128" s="31"/>
      <c r="I128" s="31"/>
      <c r="J128" s="31"/>
      <c r="K128" s="31"/>
    </row>
    <row r="129" spans="3:11" ht="30" hidden="1" customHeight="1" x14ac:dyDescent="0.25">
      <c r="C129" s="70"/>
      <c r="D129" s="70"/>
      <c r="E129" s="70"/>
      <c r="F129" s="70"/>
      <c r="G129" s="25"/>
      <c r="H129" s="31"/>
      <c r="I129" s="31"/>
      <c r="J129" s="31"/>
      <c r="K129" s="31"/>
    </row>
    <row r="130" spans="3:11" ht="30" hidden="1" customHeight="1" x14ac:dyDescent="0.25">
      <c r="C130" s="70"/>
      <c r="D130" s="70"/>
      <c r="E130" s="70"/>
      <c r="F130" s="70"/>
      <c r="G130" s="25"/>
      <c r="H130" s="31"/>
      <c r="I130" s="31"/>
      <c r="J130" s="31"/>
      <c r="K130" s="31"/>
    </row>
    <row r="131" spans="3:11" ht="30" hidden="1" customHeight="1" x14ac:dyDescent="0.25">
      <c r="C131" s="70"/>
      <c r="D131" s="70"/>
      <c r="E131" s="70"/>
      <c r="F131" s="70"/>
      <c r="G131" s="25"/>
      <c r="H131" s="31"/>
      <c r="I131" s="31"/>
      <c r="J131" s="31"/>
      <c r="K131" s="31"/>
    </row>
    <row r="132" spans="3:11" ht="30" hidden="1" customHeight="1" x14ac:dyDescent="0.25">
      <c r="C132" s="70"/>
      <c r="D132" s="70"/>
      <c r="E132" s="70"/>
      <c r="F132" s="70"/>
      <c r="G132" s="25"/>
      <c r="H132" s="31"/>
      <c r="I132" s="31"/>
      <c r="J132" s="31"/>
      <c r="K132" s="31"/>
    </row>
    <row r="133" spans="3:11" ht="30" hidden="1" customHeight="1" x14ac:dyDescent="0.25">
      <c r="C133" s="70"/>
      <c r="D133" s="70"/>
      <c r="E133" s="70"/>
      <c r="F133" s="70"/>
      <c r="G133" s="25"/>
      <c r="H133" s="31"/>
      <c r="I133" s="31"/>
      <c r="J133" s="31"/>
      <c r="K133" s="31"/>
    </row>
    <row r="134" spans="3:11" ht="30" hidden="1" customHeight="1" x14ac:dyDescent="0.25">
      <c r="C134" s="70"/>
      <c r="D134" s="70"/>
      <c r="E134" s="70"/>
      <c r="F134" s="70"/>
      <c r="G134" s="25"/>
      <c r="H134" s="31"/>
      <c r="I134" s="31"/>
      <c r="J134" s="31"/>
      <c r="K134" s="31"/>
    </row>
    <row r="135" spans="3:11" ht="30" hidden="1" customHeight="1" x14ac:dyDescent="0.25">
      <c r="C135" s="70"/>
      <c r="D135" s="70"/>
      <c r="E135" s="70"/>
      <c r="F135" s="70"/>
      <c r="G135" s="25"/>
      <c r="H135" s="31"/>
      <c r="I135" s="31"/>
      <c r="J135" s="31"/>
      <c r="K135" s="31"/>
    </row>
    <row r="136" spans="3:11" ht="30" hidden="1" customHeight="1" x14ac:dyDescent="0.25">
      <c r="C136" s="70"/>
      <c r="D136" s="70"/>
      <c r="E136" s="70"/>
      <c r="F136" s="70"/>
      <c r="G136" s="25"/>
      <c r="H136" s="31"/>
      <c r="I136" s="31"/>
      <c r="J136" s="31"/>
      <c r="K136" s="31"/>
    </row>
    <row r="137" spans="3:11" ht="30" hidden="1" customHeight="1" x14ac:dyDescent="0.25">
      <c r="C137" s="70"/>
      <c r="D137" s="70"/>
      <c r="E137" s="70"/>
      <c r="F137" s="70"/>
      <c r="G137" s="25"/>
      <c r="H137" s="31"/>
      <c r="I137" s="31"/>
      <c r="J137" s="31"/>
      <c r="K137" s="31"/>
    </row>
    <row r="138" spans="3:11" ht="30" hidden="1" customHeight="1" x14ac:dyDescent="0.25">
      <c r="C138" s="70"/>
      <c r="D138" s="70"/>
      <c r="E138" s="70"/>
      <c r="F138" s="70"/>
      <c r="G138" s="25"/>
      <c r="H138" s="31"/>
      <c r="I138" s="31"/>
      <c r="J138" s="31"/>
      <c r="K138" s="31"/>
    </row>
    <row r="139" spans="3:11" ht="30" hidden="1" customHeight="1" x14ac:dyDescent="0.25">
      <c r="C139" s="70"/>
      <c r="D139" s="70"/>
      <c r="E139" s="70"/>
      <c r="F139" s="70"/>
      <c r="G139" s="25"/>
      <c r="H139" s="31"/>
      <c r="I139" s="31"/>
      <c r="J139" s="31"/>
      <c r="K139" s="31"/>
    </row>
    <row r="140" spans="3:11" ht="30" hidden="1" customHeight="1" x14ac:dyDescent="0.25"/>
    <row r="141" spans="3:11" ht="15" hidden="1" x14ac:dyDescent="0.25"/>
    <row r="142" spans="3:11" ht="15" hidden="1" x14ac:dyDescent="0.25"/>
    <row r="143" spans="3:11" ht="15" hidden="1" x14ac:dyDescent="0.25"/>
    <row r="144" spans="3:11" ht="15" hidden="1" x14ac:dyDescent="0.25"/>
    <row r="145" ht="15" hidden="1" x14ac:dyDescent="0.25"/>
  </sheetData>
  <sheetProtection sheet="1" objects="1" scenarios="1"/>
  <mergeCells count="20">
    <mergeCell ref="G26:G27"/>
    <mergeCell ref="G24:G25"/>
    <mergeCell ref="G29:G33"/>
    <mergeCell ref="G34:G35"/>
    <mergeCell ref="G36:G37"/>
    <mergeCell ref="C3:J3"/>
    <mergeCell ref="D6:E6"/>
    <mergeCell ref="D7:E7"/>
    <mergeCell ref="F6:G6"/>
    <mergeCell ref="F7:G7"/>
    <mergeCell ref="H6:I6"/>
    <mergeCell ref="H7:I7"/>
    <mergeCell ref="D5:I5"/>
    <mergeCell ref="B21:K21"/>
    <mergeCell ref="D9:I9"/>
    <mergeCell ref="D10:E10"/>
    <mergeCell ref="H10:I10"/>
    <mergeCell ref="D11:E11"/>
    <mergeCell ref="H11:I11"/>
    <mergeCell ref="I18:I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40"/>
  <sheetViews>
    <sheetView showGridLines="0" topLeftCell="A2" zoomScale="90" zoomScaleNormal="90" workbookViewId="0">
      <selection activeCell="A4" sqref="A4"/>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47" t="s">
        <v>182</v>
      </c>
      <c r="C3" s="347"/>
      <c r="D3" s="347"/>
      <c r="E3" s="347"/>
      <c r="F3" s="347"/>
      <c r="G3" s="347"/>
      <c r="H3" s="347"/>
      <c r="I3" s="347"/>
    </row>
    <row r="4" spans="1:9" ht="33" customHeight="1" x14ac:dyDescent="0.25">
      <c r="B4" s="69"/>
      <c r="C4" s="69"/>
      <c r="D4" s="69"/>
      <c r="E4" s="69"/>
      <c r="F4" s="69"/>
      <c r="G4" s="69"/>
      <c r="H4" s="69"/>
      <c r="I4" s="69"/>
    </row>
    <row r="5" spans="1:9" ht="33" customHeight="1" x14ac:dyDescent="0.25">
      <c r="B5" s="80"/>
      <c r="C5" s="80"/>
      <c r="D5" s="83"/>
      <c r="E5" s="80"/>
      <c r="F5" s="80"/>
      <c r="G5" s="80"/>
      <c r="H5" s="80"/>
      <c r="I5" s="80"/>
    </row>
    <row r="6" spans="1:9" ht="33" customHeight="1" x14ac:dyDescent="0.25">
      <c r="B6" s="80"/>
      <c r="C6" s="80"/>
      <c r="D6" s="83"/>
      <c r="E6" s="80"/>
      <c r="F6" s="80"/>
      <c r="G6" s="80"/>
      <c r="H6" s="80"/>
      <c r="I6" s="80"/>
    </row>
    <row r="7" spans="1:9" ht="33" customHeight="1" x14ac:dyDescent="0.25">
      <c r="B7" s="80"/>
      <c r="C7" s="80"/>
      <c r="D7" s="83"/>
      <c r="E7" s="80"/>
      <c r="F7" s="80"/>
      <c r="G7" s="80"/>
      <c r="H7" s="80"/>
      <c r="I7" s="80"/>
    </row>
    <row r="8" spans="1:9" ht="33" customHeight="1" x14ac:dyDescent="0.25">
      <c r="B8" s="85"/>
      <c r="C8" s="78"/>
      <c r="D8" s="78"/>
      <c r="E8" s="78"/>
      <c r="F8" s="78"/>
      <c r="G8" s="78"/>
      <c r="H8" s="78"/>
      <c r="I8" s="78"/>
    </row>
    <row r="9" spans="1:9" ht="33" customHeight="1" x14ac:dyDescent="0.25">
      <c r="B9" s="66"/>
      <c r="C9" s="66"/>
      <c r="D9" s="66"/>
      <c r="E9" s="66"/>
      <c r="F9" s="66"/>
      <c r="G9" s="66"/>
      <c r="H9" s="66"/>
      <c r="I9" s="66"/>
    </row>
    <row r="10" spans="1:9" ht="33" customHeight="1" x14ac:dyDescent="0.25">
      <c r="B10" s="75"/>
      <c r="C10" s="68"/>
      <c r="D10" s="68"/>
      <c r="E10" s="59"/>
      <c r="F10" s="53"/>
      <c r="G10" s="75"/>
      <c r="H10" s="53"/>
      <c r="I10" s="75"/>
    </row>
    <row r="11" spans="1:9" ht="33" customHeight="1" x14ac:dyDescent="0.25">
      <c r="A11" s="23"/>
      <c r="B11" s="63"/>
      <c r="C11" s="70"/>
      <c r="D11" s="70"/>
      <c r="E11" s="64"/>
      <c r="F11" s="63"/>
      <c r="G11" s="84"/>
      <c r="H11" s="63"/>
      <c r="I11" s="84"/>
    </row>
    <row r="12" spans="1:9" ht="30" customHeight="1" x14ac:dyDescent="0.25">
      <c r="B12" s="64"/>
      <c r="C12" s="70"/>
      <c r="D12" s="70"/>
      <c r="E12" s="53"/>
      <c r="F12" s="63"/>
      <c r="G12" s="84"/>
      <c r="H12" s="63"/>
      <c r="I12" s="84"/>
    </row>
    <row r="13" spans="1:9" ht="30" customHeight="1" x14ac:dyDescent="0.25">
      <c r="B13" s="63"/>
      <c r="C13" s="70"/>
      <c r="D13" s="70"/>
      <c r="E13" s="68"/>
      <c r="F13" s="64"/>
      <c r="G13" s="84"/>
      <c r="H13" s="74"/>
      <c r="I13" s="84"/>
    </row>
    <row r="14" spans="1:9" ht="30" customHeight="1" x14ac:dyDescent="0.25">
      <c r="B14" s="63"/>
      <c r="C14" s="70"/>
      <c r="D14" s="70"/>
      <c r="E14" s="25"/>
      <c r="F14" s="63"/>
      <c r="G14" s="84"/>
      <c r="H14" s="74"/>
      <c r="I14" s="84"/>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48"/>
      <c r="C17" s="348"/>
      <c r="D17" s="348"/>
      <c r="E17" s="25"/>
      <c r="F17" s="68"/>
      <c r="G17" s="83"/>
      <c r="H17" s="68"/>
      <c r="I17" s="83"/>
    </row>
    <row r="18" spans="2:9" ht="30" customHeight="1" x14ac:dyDescent="0.25">
      <c r="B18" s="64"/>
      <c r="C18" s="70"/>
      <c r="D18" s="70"/>
      <c r="E18" s="25"/>
      <c r="F18" s="76"/>
      <c r="G18" s="70"/>
      <c r="H18" s="63"/>
      <c r="I18" s="70"/>
    </row>
    <row r="19" spans="2:9" ht="30" customHeight="1" x14ac:dyDescent="0.25">
      <c r="B19" s="64"/>
      <c r="C19" s="70"/>
      <c r="D19" s="70"/>
      <c r="E19" s="25"/>
      <c r="F19" s="76"/>
      <c r="G19" s="70"/>
      <c r="H19" s="63"/>
      <c r="I19" s="70"/>
    </row>
    <row r="20" spans="2:9" ht="30" customHeight="1" x14ac:dyDescent="0.25">
      <c r="B20" s="64"/>
      <c r="C20" s="70"/>
      <c r="D20" s="70"/>
      <c r="E20" s="59"/>
      <c r="F20" s="76"/>
      <c r="G20" s="70"/>
      <c r="H20" s="64"/>
      <c r="I20" s="70"/>
    </row>
    <row r="21" spans="2:9" ht="30" customHeight="1" x14ac:dyDescent="0.25">
      <c r="B21" s="64"/>
      <c r="C21" s="70"/>
      <c r="D21" s="70"/>
      <c r="E21" s="64"/>
      <c r="F21" s="74"/>
      <c r="G21" s="70"/>
      <c r="H21" s="74"/>
      <c r="I21" s="70"/>
    </row>
    <row r="22" spans="2:9" ht="30" customHeight="1" x14ac:dyDescent="0.25">
      <c r="B22" s="64"/>
      <c r="C22" s="70"/>
      <c r="D22" s="70"/>
      <c r="E22" s="25"/>
      <c r="F22" s="74"/>
      <c r="G22" s="70"/>
      <c r="H22" s="74"/>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row r="33" customFormat="1" ht="0" hidden="1" customHeight="1" x14ac:dyDescent="0.25"/>
    <row r="34" customFormat="1" ht="0" hidden="1" customHeight="1" x14ac:dyDescent="0.25"/>
    <row r="35" customFormat="1" ht="0" hidden="1" customHeight="1" x14ac:dyDescent="0.25"/>
    <row r="36" customFormat="1" ht="0" hidden="1" customHeight="1" x14ac:dyDescent="0.25"/>
    <row r="37" customFormat="1" ht="0" hidden="1" customHeight="1" x14ac:dyDescent="0.25"/>
    <row r="38" customFormat="1" ht="0" hidden="1" customHeight="1" x14ac:dyDescent="0.25"/>
    <row r="39" customFormat="1" ht="0" hidden="1" customHeight="1" x14ac:dyDescent="0.25"/>
    <row r="40" customFormat="1" ht="0" hidden="1" customHeight="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C11" sqref="C11"/>
    </sheetView>
  </sheetViews>
  <sheetFormatPr defaultRowHeight="15" x14ac:dyDescent="0.25"/>
  <cols>
    <col min="2" max="2" width="17.28515625" customWidth="1"/>
  </cols>
  <sheetData>
    <row r="3" spans="2:3" x14ac:dyDescent="0.25">
      <c r="C3" t="s">
        <v>257</v>
      </c>
    </row>
    <row r="4" spans="2:3" x14ac:dyDescent="0.25">
      <c r="B4" t="s">
        <v>368</v>
      </c>
      <c r="C4" s="179">
        <f>SUM('Resultatpresentation i tabell'!B14:E14)</f>
        <v>0</v>
      </c>
    </row>
    <row r="5" spans="2:3" x14ac:dyDescent="0.25">
      <c r="B5" t="s">
        <v>369</v>
      </c>
      <c r="C5" s="179">
        <f>SUM('Resultatpresentation i tabell'!F14)</f>
        <v>0</v>
      </c>
    </row>
    <row r="6" spans="2:3" x14ac:dyDescent="0.25">
      <c r="B6" t="s">
        <v>370</v>
      </c>
      <c r="C6" s="179">
        <f>SUM('Resultatpresentation i tabell'!G14:J14)</f>
        <v>0</v>
      </c>
    </row>
    <row r="7" spans="2:3" x14ac:dyDescent="0.25">
      <c r="B7" t="s">
        <v>372</v>
      </c>
      <c r="C7">
        <f>'Nyttor från biprodukter'!H15/1000</f>
        <v>0</v>
      </c>
    </row>
    <row r="8" spans="2:3" x14ac:dyDescent="0.25">
      <c r="B8" t="s">
        <v>371</v>
      </c>
      <c r="C8">
        <f>SUM('Nyttor från biprodukter'!H16:H19)/1000</f>
        <v>0</v>
      </c>
    </row>
    <row r="9" spans="2:3" x14ac:dyDescent="0.25">
      <c r="B9" t="s">
        <v>169</v>
      </c>
      <c r="C9" s="179">
        <f>SUM('Nyttor från biprodukter'!H26:H29)/1000+'Nyttor från biprodukter'!H32/1000</f>
        <v>0</v>
      </c>
    </row>
    <row r="10" spans="2:3" x14ac:dyDescent="0.25">
      <c r="B10" t="s">
        <v>374</v>
      </c>
      <c r="C10">
        <f>('Nyttor från biprodukter'!H38+'Nyttor från biprodukter'!H39)/1000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0" ma:contentTypeDescription="Skapa ett nytt dokument." ma:contentTypeScope="" ma:versionID="52456fc31e04294b9d36820ef6c905df">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a62a649a44a5871614bd94894e16167d"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Props1.xml><?xml version="1.0" encoding="utf-8"?>
<ds:datastoreItem xmlns:ds="http://schemas.openxmlformats.org/officeDocument/2006/customXml" ds:itemID="{2B9CCDE8-B248-46D1-B39F-F14C67CEA408}">
  <ds:schemaRefs>
    <ds:schemaRef ds:uri="http://schemas.microsoft.com/sharepoint/v3/contenttype/forms"/>
  </ds:schemaRefs>
</ds:datastoreItem>
</file>

<file path=customXml/itemProps2.xml><?xml version="1.0" encoding="utf-8"?>
<ds:datastoreItem xmlns:ds="http://schemas.openxmlformats.org/officeDocument/2006/customXml" ds:itemID="{FD274A44-792C-41A8-B1A0-0A4E6271D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7AA4C-7AF2-4BE3-9FD5-243248D927CB}">
  <ds:schemaRefs>
    <ds:schemaRef ds:uri="http://schemas.microsoft.com/office/infopath/2007/PartnerControls"/>
    <ds:schemaRef ds:uri="http://schemas.microsoft.com/office/2006/documentManagement/types"/>
    <ds:schemaRef ds:uri="5282d25f-4f2d-4765-93b5-0a8207b45dcd"/>
    <ds:schemaRef ds:uri="http://purl.org/dc/elements/1.1/"/>
    <ds:schemaRef ds:uri="http://schemas.microsoft.com/office/2006/metadata/properties"/>
    <ds:schemaRef ds:uri="2a753b0a-6bc1-4ba2-8d6d-346b2a3a5f0d"/>
    <ds:schemaRef ds:uri="http://schemas.openxmlformats.org/package/2006/metadata/core-properties"/>
    <ds:schemaRef ds:uri="http://purl.org/dc/terms/"/>
    <ds:schemaRef ds:uri="http://www.w3.org/XML/1998/namespace"/>
    <ds:schemaRef ds:uri="http://purl.org/dc/dcmitype/"/>
    <ds:schemaRef ds:uri="0fb1a41a-a547-4c82-a3d4-eec2d21982db"/>
    <ds:schemaRef ds:uri="a72bc800-d43d-4024-8680-6d69819f83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Instruktioner</vt:lpstr>
      <vt:lpstr>Lägg in data här alt 1.</vt:lpstr>
      <vt:lpstr>Lägg in data här alt 2.</vt:lpstr>
      <vt:lpstr>Lägg in data här</vt:lpstr>
      <vt:lpstr>Lägg in data här för kemikalier</vt:lpstr>
      <vt:lpstr>Nyttor från biprodukter</vt:lpstr>
      <vt:lpstr>Resultatpresentation i tabell</vt:lpstr>
      <vt:lpstr>Resultatpresentation i graf</vt:lpstr>
      <vt:lpstr>Graf - Nyttor</vt:lpstr>
      <vt:lpstr>Resultatpresentation av nyttor</vt:lpstr>
      <vt:lpstr>Referenser</vt:lpstr>
      <vt:lpstr>Anteckningar</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2024-02-06T10:31:04Z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