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ivlse.sharepoint.com/sites/215905-fortsatt-utveckling-av-klimatberakningsmodell/Delade dokument/General/15. 220519 Förvaltning 2026/02. Uppdatering våren/01. Arbetsversioner/"/>
    </mc:Choice>
  </mc:AlternateContent>
  <xr:revisionPtr revIDLastSave="2657" documentId="8_{528C45EF-E70E-4B31-A401-F2E351F0C1DD}" xr6:coauthVersionLast="47" xr6:coauthVersionMax="47" xr10:uidLastSave="{E6D315E0-AAD7-40DE-9982-D1D31460E67E}"/>
  <bookViews>
    <workbookView xWindow="-120" yWindow="-120" windowWidth="29040" windowHeight="15720" tabRatio="783" xr2:uid="{EB198E22-765A-40AF-8200-B7B6637C18EC}"/>
  </bookViews>
  <sheets>
    <sheet name="Instruktioner" sheetId="2" r:id="rId1"/>
    <sheet name="Lägg in data här alt 1." sheetId="3" state="hidden" r:id="rId2"/>
    <sheet name="Lägg in data här alt 2." sheetId="6" state="hidden" r:id="rId3"/>
    <sheet name="Lägg in data här" sheetId="7" r:id="rId4"/>
    <sheet name="Lägg in data här för kemikalier" sheetId="13" r:id="rId5"/>
    <sheet name="Nyttor från biprodukter" sheetId="17" r:id="rId6"/>
    <sheet name="Resultatpresentation i tabell" sheetId="10" r:id="rId7"/>
    <sheet name="Resultatpresentation i graf" sheetId="11" r:id="rId8"/>
    <sheet name="Graf - Nyttor" sheetId="20" state="hidden" r:id="rId9"/>
    <sheet name="Resultatpresentation av nyttor" sheetId="19" r:id="rId10"/>
    <sheet name="Referenser" sheetId="15" r:id="rId11"/>
    <sheet name="Versionshistorik" sheetId="21" r:id="rId12"/>
    <sheet name="Anteckningar" sheetId="18" r:id="rId13"/>
    <sheet name="Information till rullistor" sheetId="12" state="hidden" r:id="rId14"/>
  </sheets>
  <externalReferences>
    <externalReference r:id="rId15"/>
    <externalReference r:id="rId16"/>
  </externalReferences>
  <definedNames>
    <definedName name="Flygplats">[1]Flygplats!$A$1:$H$103</definedName>
    <definedName name="SHANGHAI">'[2]2016 data from HFM'!$P$15:$AA$66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10" l="1"/>
  <c r="H20" i="7" l="1"/>
  <c r="E113" i="10"/>
  <c r="E112" i="10"/>
  <c r="E111" i="10"/>
  <c r="E108" i="10"/>
  <c r="E107" i="10"/>
  <c r="E106" i="10"/>
  <c r="E105" i="10"/>
  <c r="E102" i="10"/>
  <c r="E101" i="10"/>
  <c r="E100" i="10"/>
  <c r="E99" i="10"/>
  <c r="E98" i="10"/>
  <c r="F63" i="15"/>
  <c r="F64"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30" i="15"/>
  <c r="E16" i="17"/>
  <c r="C69" i="15"/>
  <c r="F17" i="15" l="1"/>
  <c r="F16" i="15"/>
  <c r="B7" i="15"/>
  <c r="H14" i="10"/>
  <c r="E1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E26" i="10"/>
  <c r="E27" i="10"/>
  <c r="E28" i="10"/>
  <c r="E29" i="10"/>
  <c r="E30" i="10"/>
  <c r="E31" i="10"/>
  <c r="D26" i="10"/>
  <c r="D27" i="10"/>
  <c r="D28" i="10"/>
  <c r="D29" i="10"/>
  <c r="D30" i="10"/>
  <c r="D31" i="10"/>
  <c r="E25" i="10"/>
  <c r="D25" i="10"/>
  <c r="E24" i="10"/>
  <c r="D24" i="10"/>
  <c r="C25" i="10"/>
  <c r="B8" i="15" s="1"/>
  <c r="C24" i="10"/>
  <c r="H91" i="13"/>
  <c r="H38" i="10" l="1"/>
  <c r="H39" i="10"/>
  <c r="D112" i="10"/>
  <c r="D113" i="10"/>
  <c r="D111" i="10"/>
  <c r="I14" i="10" s="1"/>
  <c r="C112" i="10"/>
  <c r="C113" i="10"/>
  <c r="C111" i="10"/>
  <c r="D106" i="10"/>
  <c r="D107" i="10"/>
  <c r="D108" i="10"/>
  <c r="D105" i="10"/>
  <c r="C106" i="10"/>
  <c r="C107" i="10"/>
  <c r="C108" i="10"/>
  <c r="C105" i="10"/>
  <c r="D99" i="10"/>
  <c r="D100" i="10"/>
  <c r="D101" i="10"/>
  <c r="D102" i="10"/>
  <c r="D98" i="10"/>
  <c r="C102" i="10"/>
  <c r="C98" i="10"/>
  <c r="C99" i="10"/>
  <c r="C100" i="10"/>
  <c r="C101" i="10"/>
  <c r="H125" i="13" l="1"/>
  <c r="H124" i="13"/>
  <c r="H123" i="13"/>
  <c r="H118" i="13"/>
  <c r="H117" i="13"/>
  <c r="H116" i="13"/>
  <c r="H115" i="13"/>
  <c r="H107" i="13"/>
  <c r="H108" i="13"/>
  <c r="H109" i="13"/>
  <c r="H110" i="13"/>
  <c r="H106" i="13"/>
  <c r="H93" i="13" l="1"/>
  <c r="H87" i="13"/>
  <c r="H94" i="13"/>
  <c r="H86" i="13"/>
  <c r="H85" i="13"/>
  <c r="H95" i="13"/>
  <c r="H88" i="13"/>
  <c r="H65" i="13"/>
  <c r="H66" i="13"/>
  <c r="H67" i="13"/>
  <c r="H68" i="13"/>
  <c r="H69" i="13"/>
  <c r="H63" i="13"/>
  <c r="H62" i="13"/>
  <c r="J72" i="7"/>
  <c r="J38" i="10" s="1"/>
  <c r="J73" i="7"/>
  <c r="J39" i="10" s="1"/>
  <c r="I39" i="10"/>
  <c r="I38" i="10"/>
  <c r="I30" i="10" l="1"/>
  <c r="I31" i="10"/>
  <c r="I32" i="10"/>
  <c r="I33" i="10"/>
  <c r="I29" i="10"/>
  <c r="H33" i="17"/>
  <c r="C85" i="15"/>
  <c r="D111" i="7" s="1"/>
  <c r="H64" i="10"/>
  <c r="I25" i="10"/>
  <c r="I26" i="10"/>
  <c r="I27" i="10"/>
  <c r="I28" i="10"/>
  <c r="I34" i="10"/>
  <c r="I35" i="10"/>
  <c r="I36" i="10"/>
  <c r="I37" i="10"/>
  <c r="E44" i="10"/>
  <c r="E45" i="10"/>
  <c r="E46" i="10"/>
  <c r="E47" i="10"/>
  <c r="E48" i="10"/>
  <c r="E49" i="10"/>
  <c r="E50" i="10"/>
  <c r="D43" i="10"/>
  <c r="D44" i="10"/>
  <c r="D45" i="10"/>
  <c r="D46" i="10"/>
  <c r="D47" i="10"/>
  <c r="D48" i="10"/>
  <c r="D49" i="10"/>
  <c r="D50" i="10"/>
  <c r="C43" i="10"/>
  <c r="C44" i="10"/>
  <c r="C45" i="10"/>
  <c r="C46" i="10"/>
  <c r="C47" i="10"/>
  <c r="C48" i="10"/>
  <c r="C49" i="10"/>
  <c r="C50" i="10"/>
  <c r="C42" i="10"/>
  <c r="E35" i="10"/>
  <c r="E36" i="10"/>
  <c r="E37" i="10"/>
  <c r="E38" i="10"/>
  <c r="E39" i="10"/>
  <c r="D35" i="10"/>
  <c r="D36" i="10"/>
  <c r="D37" i="10"/>
  <c r="D38" i="10"/>
  <c r="D39" i="10"/>
  <c r="H117" i="7"/>
  <c r="H116" i="7"/>
  <c r="H105" i="7"/>
  <c r="D115" i="7"/>
  <c r="D101" i="7"/>
  <c r="C21" i="15"/>
  <c r="C22" i="15" s="1"/>
  <c r="C23" i="15" s="1"/>
  <c r="C24" i="15" s="1"/>
  <c r="C25" i="15" s="1"/>
  <c r="C26" i="15" s="1"/>
  <c r="C34" i="15"/>
  <c r="E42" i="10"/>
  <c r="D42" i="10"/>
  <c r="E43" i="10"/>
  <c r="H82" i="13"/>
  <c r="H79" i="13"/>
  <c r="H76" i="13"/>
  <c r="H74" i="13"/>
  <c r="H64" i="13"/>
  <c r="G14" i="10" l="1"/>
  <c r="B56" i="15"/>
  <c r="B55" i="15"/>
  <c r="B52" i="15"/>
  <c r="B53" i="15"/>
  <c r="B54" i="15"/>
  <c r="B40" i="15"/>
  <c r="B41" i="15"/>
  <c r="B42" i="15"/>
  <c r="B43" i="15"/>
  <c r="B44" i="15"/>
  <c r="B45" i="15"/>
  <c r="B46" i="15"/>
  <c r="B47" i="15"/>
  <c r="B48" i="15"/>
  <c r="B49" i="15"/>
  <c r="B50" i="15"/>
  <c r="B51" i="15"/>
  <c r="B39" i="15"/>
  <c r="D84" i="10"/>
  <c r="D85" i="10"/>
  <c r="D86" i="10"/>
  <c r="D87" i="10"/>
  <c r="D88" i="10"/>
  <c r="D89" i="10"/>
  <c r="D90" i="10"/>
  <c r="D72" i="10"/>
  <c r="D73" i="10"/>
  <c r="D74" i="10"/>
  <c r="D75" i="10"/>
  <c r="D76" i="10"/>
  <c r="D77" i="10"/>
  <c r="D78" i="10"/>
  <c r="D79" i="10"/>
  <c r="D80" i="10"/>
  <c r="D81" i="10"/>
  <c r="D82" i="10"/>
  <c r="D83" i="10"/>
  <c r="D71" i="10"/>
  <c r="C90" i="10"/>
  <c r="C88" i="10"/>
  <c r="C89" i="10"/>
  <c r="C85" i="10"/>
  <c r="C86" i="10"/>
  <c r="C87" i="10"/>
  <c r="C72" i="10"/>
  <c r="C73" i="10"/>
  <c r="C74" i="10"/>
  <c r="C75" i="10"/>
  <c r="C76" i="10"/>
  <c r="C77" i="10"/>
  <c r="C78" i="10"/>
  <c r="C79" i="10"/>
  <c r="C80" i="10"/>
  <c r="C81" i="10"/>
  <c r="C82" i="10"/>
  <c r="C83" i="10"/>
  <c r="C84" i="10"/>
  <c r="C71" i="10"/>
  <c r="H36" i="13"/>
  <c r="E84" i="10" s="1"/>
  <c r="H37" i="13"/>
  <c r="E85" i="10" s="1"/>
  <c r="H38" i="13"/>
  <c r="E86" i="10" s="1"/>
  <c r="H28" i="13"/>
  <c r="E76" i="10" s="1"/>
  <c r="H29" i="13"/>
  <c r="E77" i="10" s="1"/>
  <c r="H27" i="13"/>
  <c r="E75" i="10" s="1"/>
  <c r="H26" i="13"/>
  <c r="E74" i="10" s="1"/>
  <c r="H35" i="13"/>
  <c r="E83" i="10" s="1"/>
  <c r="H39" i="13"/>
  <c r="E87" i="10" s="1"/>
  <c r="G69" i="15"/>
  <c r="H61" i="13"/>
  <c r="H70" i="13"/>
  <c r="H71" i="13"/>
  <c r="H72" i="13"/>
  <c r="H73" i="13"/>
  <c r="H75" i="13"/>
  <c r="H77" i="13"/>
  <c r="H78" i="13"/>
  <c r="H80" i="13"/>
  <c r="H81" i="13"/>
  <c r="H83" i="13"/>
  <c r="H84" i="13"/>
  <c r="H90" i="13"/>
  <c r="H92" i="13"/>
  <c r="H89" i="13"/>
  <c r="H96" i="13"/>
  <c r="H97" i="13"/>
  <c r="H98" i="13"/>
  <c r="H60" i="13"/>
  <c r="H49" i="13"/>
  <c r="H50" i="13"/>
  <c r="H48" i="13"/>
  <c r="H23" i="13"/>
  <c r="E71" i="10" s="1"/>
  <c r="H24" i="13"/>
  <c r="E72" i="10" s="1"/>
  <c r="H25" i="13"/>
  <c r="E73" i="10" s="1"/>
  <c r="H30" i="13"/>
  <c r="E78" i="10" s="1"/>
  <c r="H31" i="13"/>
  <c r="E79" i="10" s="1"/>
  <c r="H32" i="13"/>
  <c r="E80" i="10" s="1"/>
  <c r="H33" i="13"/>
  <c r="E81" i="10" s="1"/>
  <c r="H34" i="13"/>
  <c r="E82" i="10" s="1"/>
  <c r="H40" i="13"/>
  <c r="E88" i="10" s="1"/>
  <c r="H41" i="13"/>
  <c r="E89" i="10" s="1"/>
  <c r="H42" i="13"/>
  <c r="E90" i="10" s="1"/>
  <c r="I11" i="13"/>
  <c r="I12" i="13"/>
  <c r="I13" i="13"/>
  <c r="I14" i="13"/>
  <c r="I15" i="13"/>
  <c r="I16" i="13"/>
  <c r="I17" i="13"/>
  <c r="I10" i="13"/>
  <c r="J59" i="7"/>
  <c r="J25" i="10" s="1"/>
  <c r="J60" i="7"/>
  <c r="J26" i="10" s="1"/>
  <c r="J61" i="7"/>
  <c r="J27" i="10" s="1"/>
  <c r="J62" i="7"/>
  <c r="J28" i="10" s="1"/>
  <c r="J63" i="7"/>
  <c r="J29" i="10" s="1"/>
  <c r="J64" i="7"/>
  <c r="J30" i="10" s="1"/>
  <c r="J65" i="7"/>
  <c r="J31" i="10" s="1"/>
  <c r="J66" i="7"/>
  <c r="J32" i="10" s="1"/>
  <c r="J67" i="7"/>
  <c r="J33" i="10" s="1"/>
  <c r="J68" i="7"/>
  <c r="J34" i="10" s="1"/>
  <c r="J69" i="7"/>
  <c r="J35" i="10" s="1"/>
  <c r="J70" i="7"/>
  <c r="J36" i="10" s="1"/>
  <c r="J71" i="7"/>
  <c r="J37" i="10" s="1"/>
  <c r="J58" i="7"/>
  <c r="B20" i="15"/>
  <c r="C66" i="10" l="1"/>
  <c r="D66" i="10"/>
  <c r="E66" i="10"/>
  <c r="F66" i="10"/>
  <c r="C67" i="10"/>
  <c r="D67" i="10"/>
  <c r="E67" i="10"/>
  <c r="F67" i="10"/>
  <c r="C68" i="10"/>
  <c r="D68" i="10"/>
  <c r="E68" i="10"/>
  <c r="F68" i="10"/>
  <c r="G20" i="15"/>
  <c r="C29" i="10"/>
  <c r="B12" i="15" s="1"/>
  <c r="D18" i="17"/>
  <c r="C78" i="15" l="1"/>
  <c r="C70" i="15"/>
  <c r="E39" i="17"/>
  <c r="D39" i="17"/>
  <c r="I55" i="10"/>
  <c r="C88" i="15"/>
  <c r="C87" i="15"/>
  <c r="D126" i="7" s="1"/>
  <c r="E32" i="17" l="1"/>
  <c r="H32" i="17" s="1"/>
  <c r="I61" i="10"/>
  <c r="H61" i="10"/>
  <c r="H18" i="17" l="1"/>
  <c r="H30" i="10"/>
  <c r="H40" i="17" l="1"/>
  <c r="H17" i="17" l="1"/>
  <c r="D86" i="7"/>
  <c r="D91" i="7" s="1"/>
  <c r="I43" i="10" l="1"/>
  <c r="I45" i="10"/>
  <c r="I48" i="10"/>
  <c r="D26" i="17"/>
  <c r="H39" i="17"/>
  <c r="H15" i="17"/>
  <c r="I64" i="10"/>
  <c r="I54" i="10"/>
  <c r="I47" i="10"/>
  <c r="H25" i="10"/>
  <c r="H26" i="10"/>
  <c r="H27" i="10"/>
  <c r="H28" i="10"/>
  <c r="H29" i="10"/>
  <c r="H31" i="10"/>
  <c r="H32" i="10"/>
  <c r="H33" i="10"/>
  <c r="H34" i="10"/>
  <c r="H35" i="10"/>
  <c r="H36" i="10"/>
  <c r="H37" i="10"/>
  <c r="C35" i="10"/>
  <c r="C36" i="10"/>
  <c r="C37" i="10"/>
  <c r="C38" i="10"/>
  <c r="C39" i="10"/>
  <c r="C10" i="20" l="1"/>
  <c r="F9" i="17"/>
  <c r="C7" i="20"/>
  <c r="I44" i="10"/>
  <c r="I46" i="10"/>
  <c r="J64" i="10" l="1"/>
  <c r="D131" i="7" l="1"/>
  <c r="I52" i="10"/>
  <c r="I51" i="10"/>
  <c r="I57" i="10"/>
  <c r="I56" i="10"/>
  <c r="F62" i="10"/>
  <c r="F63" i="10"/>
  <c r="F64" i="10"/>
  <c r="F65" i="10"/>
  <c r="F61" i="10"/>
  <c r="E62" i="10"/>
  <c r="E63" i="10"/>
  <c r="E64" i="10"/>
  <c r="E65" i="10"/>
  <c r="D62" i="10"/>
  <c r="D63" i="10"/>
  <c r="D64" i="10"/>
  <c r="D65" i="10"/>
  <c r="C62" i="10"/>
  <c r="C63" i="10"/>
  <c r="C64" i="10"/>
  <c r="C65" i="10"/>
  <c r="E94" i="10"/>
  <c r="E95" i="10"/>
  <c r="E93" i="10"/>
  <c r="H24" i="10"/>
  <c r="D94" i="10"/>
  <c r="D95" i="10"/>
  <c r="C94" i="10"/>
  <c r="C95" i="10"/>
  <c r="C26" i="10"/>
  <c r="B9" i="15" s="1"/>
  <c r="C27" i="10"/>
  <c r="B10" i="15" s="1"/>
  <c r="C28" i="10"/>
  <c r="B11" i="15" s="1"/>
  <c r="C30" i="10"/>
  <c r="C31" i="10"/>
  <c r="C34" i="10"/>
  <c r="D14" i="10" l="1"/>
  <c r="I53" i="10"/>
  <c r="C14" i="10" s="1"/>
  <c r="H29" i="17"/>
  <c r="H28" i="17"/>
  <c r="H27" i="17"/>
  <c r="H26" i="17"/>
  <c r="E9" i="17" s="1"/>
  <c r="H19" i="17"/>
  <c r="H16" i="17"/>
  <c r="C8" i="20" l="1"/>
  <c r="D9" i="17"/>
  <c r="C9" i="20"/>
  <c r="L66" i="17"/>
  <c r="K66" i="17"/>
  <c r="M65" i="17"/>
  <c r="L65" i="17"/>
  <c r="K65" i="17"/>
  <c r="M64" i="17"/>
  <c r="L64" i="17"/>
  <c r="K64" i="17"/>
  <c r="M63" i="17"/>
  <c r="L63" i="17"/>
  <c r="K63" i="17"/>
  <c r="M62" i="17"/>
  <c r="L62" i="17"/>
  <c r="K62" i="17"/>
  <c r="B21" i="15"/>
  <c r="B22" i="15"/>
  <c r="B23" i="15"/>
  <c r="B24" i="15"/>
  <c r="E34" i="10"/>
  <c r="B14" i="10" s="1"/>
  <c r="D18" i="10" s="1"/>
  <c r="D34" i="10"/>
  <c r="F14" i="10" s="1"/>
  <c r="E18" i="10" s="1"/>
  <c r="E61" i="10"/>
  <c r="C9" i="17" l="1"/>
  <c r="M66" i="17"/>
  <c r="C4" i="20" l="1"/>
  <c r="I139" i="10"/>
  <c r="G139" i="10"/>
  <c r="I24" i="10"/>
  <c r="K14" i="10" s="1"/>
  <c r="C61" i="10" l="1"/>
  <c r="D61" i="10"/>
  <c r="H139" i="10"/>
  <c r="K128" i="13"/>
  <c r="L128" i="13"/>
  <c r="M128" i="13"/>
  <c r="K129" i="13"/>
  <c r="L129" i="13"/>
  <c r="M129" i="13"/>
  <c r="K130" i="13"/>
  <c r="L130" i="13"/>
  <c r="M130" i="13"/>
  <c r="K131" i="13"/>
  <c r="L131" i="13"/>
  <c r="M131" i="13"/>
  <c r="K132" i="13"/>
  <c r="L132" i="13"/>
  <c r="M132" i="13"/>
  <c r="D93" i="10"/>
  <c r="C93" i="10"/>
  <c r="C5" i="20" l="1"/>
  <c r="J139" i="10"/>
  <c r="J24" i="10"/>
  <c r="J14" i="10" l="1"/>
  <c r="G18" i="10"/>
  <c r="C6" i="20"/>
  <c r="F18" i="10" l="1"/>
  <c r="L14" i="10"/>
  <c r="D11" i="10" s="1"/>
  <c r="H9" i="17" l="1"/>
  <c r="I18" i="10" s="1"/>
  <c r="D7" i="10"/>
  <c r="F11" i="10"/>
  <c r="H11" i="10"/>
  <c r="H7" i="10"/>
  <c r="F7" i="10"/>
</calcChain>
</file>

<file path=xl/sharedStrings.xml><?xml version="1.0" encoding="utf-8"?>
<sst xmlns="http://schemas.openxmlformats.org/spreadsheetml/2006/main" count="875" uniqueCount="609">
  <si>
    <t>Klimatberäkningsmodell för dricksvatten- och avloppsreningsverk</t>
  </si>
  <si>
    <t xml:space="preserve">Beräkning av klimatpåverkan per år och på anläggningsnivå. </t>
  </si>
  <si>
    <t>Anläggning:</t>
  </si>
  <si>
    <r>
      <rPr>
        <b/>
        <u/>
        <sz val="12"/>
        <color theme="1"/>
        <rFont val="Arial"/>
        <family val="2"/>
      </rPr>
      <t>Hur lägger jag till eller uppdaterar data i modellen?</t>
    </r>
    <r>
      <rPr>
        <sz val="12"/>
        <color theme="1"/>
        <rFont val="Arial"/>
        <family val="2"/>
      </rPr>
      <t xml:space="preserve">
Data läggs in i de gröna fälten i flikarna som heter "Lägg in data här" 
samt "Lägg in data här för kemikalier". Även data för transporter och 
egna emissionsfaktorer läggs in här. 
Lägg in data för en anläggning åt gången. </t>
    </r>
  </si>
  <si>
    <t>[Namn på anläggning]</t>
  </si>
  <si>
    <t>Typ av anläggning:</t>
  </si>
  <si>
    <t>[Avloppsreningsverk/vattenverk]</t>
  </si>
  <si>
    <t>Adress:</t>
  </si>
  <si>
    <t>[Ange anläggningens adress]</t>
  </si>
  <si>
    <t>Organisation:</t>
  </si>
  <si>
    <t>[Till vilken organisation hör anläggningen?]</t>
  </si>
  <si>
    <t>Kontaktperson:</t>
  </si>
  <si>
    <r>
      <rPr>
        <b/>
        <u/>
        <sz val="12"/>
        <color theme="1"/>
        <rFont val="Arial"/>
        <family val="2"/>
      </rPr>
      <t>Letar du efter mer information?</t>
    </r>
    <r>
      <rPr>
        <sz val="12"/>
        <color theme="1"/>
        <rFont val="Arial"/>
        <family val="2"/>
      </rPr>
      <t xml:space="preserve">
Är du intresserad av att veta mer om modellen kan du läsa den 
kompletterande användarmanualen som finns att ladda ned hos Svenskt Vatten.</t>
    </r>
  </si>
  <si>
    <t>[Vem har fyllt i informationen i detta dokument?]</t>
  </si>
  <si>
    <t xml:space="preserve">Årtal: </t>
  </si>
  <si>
    <t>[RUBRIK]</t>
  </si>
  <si>
    <t>Lägg in information i de gröna fälten</t>
  </si>
  <si>
    <t>Fordon och maskiner, brukade under egen drift</t>
  </si>
  <si>
    <t>Inköpt el</t>
  </si>
  <si>
    <t>Transporter in till anläggningen</t>
  </si>
  <si>
    <t>Ange förbrukad mängd drivmedel</t>
  </si>
  <si>
    <t>[Instruktioner]</t>
  </si>
  <si>
    <t>Transporters växthusgaser är direkt kopplade emot förbränningen av ett drivmedel. Därför är det den mest trovärdiga informationen att utgå ifrån.</t>
  </si>
  <si>
    <t>Energibärare</t>
  </si>
  <si>
    <r>
      <t>Emissionsfaktor [kg CO</t>
    </r>
    <r>
      <rPr>
        <b/>
        <vertAlign val="subscript"/>
        <sz val="11"/>
        <rFont val="Calibri"/>
        <family val="2"/>
        <scheme val="minor"/>
      </rPr>
      <t>2</t>
    </r>
    <r>
      <rPr>
        <b/>
        <sz val="11"/>
        <rFont val="Calibri"/>
        <family val="2"/>
        <scheme val="minor"/>
      </rPr>
      <t xml:space="preserve"> e/referensenhet]</t>
    </r>
  </si>
  <si>
    <t>Förbrukad mängd 
[per referemsenhet]</t>
  </si>
  <si>
    <t>Ursprungsmärkning</t>
  </si>
  <si>
    <r>
      <t>Emissionsfaktor 
[kg CO</t>
    </r>
    <r>
      <rPr>
        <b/>
        <vertAlign val="subscript"/>
        <sz val="11"/>
        <rFont val="Calibri"/>
        <family val="2"/>
        <scheme val="minor"/>
      </rPr>
      <t>2</t>
    </r>
    <r>
      <rPr>
        <b/>
        <sz val="11"/>
        <rFont val="Calibri"/>
        <family val="2"/>
        <scheme val="minor"/>
      </rPr>
      <t xml:space="preserve"> e/kWh]</t>
    </r>
  </si>
  <si>
    <t>Förbrukad mängd 
[kWh]</t>
  </si>
  <si>
    <t>Drivmedelsförbrukning</t>
  </si>
  <si>
    <r>
      <t>Emissionsfaktor 
[kg CO</t>
    </r>
    <r>
      <rPr>
        <b/>
        <vertAlign val="subscript"/>
        <sz val="11"/>
        <rFont val="Calibri"/>
        <family val="2"/>
        <scheme val="minor"/>
      </rPr>
      <t>2</t>
    </r>
    <r>
      <rPr>
        <b/>
        <sz val="11"/>
        <rFont val="Calibri"/>
        <family val="2"/>
        <scheme val="minor"/>
      </rPr>
      <t xml:space="preserve"> e/liter]</t>
    </r>
  </si>
  <si>
    <t>Förbrukad mängd 
[liter]</t>
  </si>
  <si>
    <t>Bensin MK11 [liter]</t>
  </si>
  <si>
    <t>Vattenkraft</t>
  </si>
  <si>
    <t>Diesel</t>
  </si>
  <si>
    <t>Diesel MK11 [liter]</t>
  </si>
  <si>
    <t>Vindkraft</t>
  </si>
  <si>
    <t>HVO - rester från matolja</t>
  </si>
  <si>
    <t>Diesel MK31 [liter]</t>
  </si>
  <si>
    <t>Kärnkraft</t>
  </si>
  <si>
    <t>HVO - Raps</t>
  </si>
  <si>
    <t>E851 [liter]</t>
  </si>
  <si>
    <t>Solceller</t>
  </si>
  <si>
    <t>HVO - slaktrester</t>
  </si>
  <si>
    <t>ED951 [liter]</t>
  </si>
  <si>
    <t>Nordisk elmix</t>
  </si>
  <si>
    <t>FAME 1001 [liter]</t>
  </si>
  <si>
    <t>alt.</t>
  </si>
  <si>
    <t>Fordonsgas1 [Kg]</t>
  </si>
  <si>
    <t>Inköpt värme</t>
  </si>
  <si>
    <t>Biogas1 [Kg]</t>
  </si>
  <si>
    <t xml:space="preserve">Finns inte information om drivmedelsförbrukning att tillgå kan antal körda tonkm att användas. En tonkm är ett antal ton som transporteras en viss distans, till exempel 5 ton som transporteras 3 km är 15 tonkm. </t>
  </si>
  <si>
    <t>HVO1001 [liter]</t>
  </si>
  <si>
    <t>LNG/LBG1 [liter]</t>
  </si>
  <si>
    <t>Drivmedel</t>
  </si>
  <si>
    <r>
      <t>Emissionsfaktor 
[kg CO</t>
    </r>
    <r>
      <rPr>
        <b/>
        <vertAlign val="subscript"/>
        <sz val="11"/>
        <rFont val="Calibri"/>
        <family val="2"/>
        <scheme val="minor"/>
      </rPr>
      <t>2</t>
    </r>
    <r>
      <rPr>
        <b/>
        <sz val="11"/>
        <rFont val="Calibri"/>
        <family val="2"/>
        <scheme val="minor"/>
      </rPr>
      <t xml:space="preserve"> e/tonkm]</t>
    </r>
  </si>
  <si>
    <t>Annat [enhet]</t>
  </si>
  <si>
    <t>Fjärrvärme</t>
  </si>
  <si>
    <t>Biogas</t>
  </si>
  <si>
    <t>HVO - osäker på ursprung</t>
  </si>
  <si>
    <t>[Eget avtal]</t>
  </si>
  <si>
    <t>El</t>
  </si>
  <si>
    <r>
      <t xml:space="preserve">Transporter in </t>
    </r>
    <r>
      <rPr>
        <b/>
        <i/>
        <u/>
        <sz val="11"/>
        <color theme="3" tint="-0.499984740745262"/>
        <rFont val="Calibri"/>
        <family val="2"/>
        <scheme val="minor"/>
      </rPr>
      <t>till</t>
    </r>
    <r>
      <rPr>
        <b/>
        <sz val="11"/>
        <color theme="3" tint="-0.499984740745262"/>
        <rFont val="Calibri"/>
        <family val="2"/>
        <scheme val="minor"/>
      </rPr>
      <t xml:space="preserve"> anläggningen</t>
    </r>
  </si>
  <si>
    <t>Rapporteringsflik</t>
  </si>
  <si>
    <t>Lägg in information i de grönmarkerade fält som är relevanta för den aktuella anläggningen. Alla gröna fält behöver därmed inte vara ifyllda. 
Informationen som läggs in ska vara på årsbasis. Var uppmärksam på vilka enheter data efterfrågas i!</t>
  </si>
  <si>
    <t>Dricksvattenverk</t>
  </si>
  <si>
    <t>Avloppsreningsverk</t>
  </si>
  <si>
    <t>Elförbrukning</t>
  </si>
  <si>
    <t>Nordisk residualmix</t>
  </si>
  <si>
    <t xml:space="preserve">Vindkraft </t>
  </si>
  <si>
    <t>Solkraft</t>
  </si>
  <si>
    <t>Biogas, 
internt producerad</t>
  </si>
  <si>
    <t>Annan</t>
  </si>
  <si>
    <t>Värmeförbrukning</t>
  </si>
  <si>
    <t>Eldningsolja</t>
  </si>
  <si>
    <t>Naturgas</t>
  </si>
  <si>
    <t>Drivmedelstyp</t>
  </si>
  <si>
    <t>Förbrukning [liter/år]</t>
  </si>
  <si>
    <r>
      <t>Indirekta utsläpp, 
[kg CO</t>
    </r>
    <r>
      <rPr>
        <b/>
        <vertAlign val="subscript"/>
        <sz val="11"/>
        <rFont val="Calibri"/>
        <family val="2"/>
        <scheme val="minor"/>
      </rPr>
      <t>2</t>
    </r>
    <r>
      <rPr>
        <b/>
        <sz val="11"/>
        <rFont val="Calibri"/>
        <family val="2"/>
        <scheme val="minor"/>
      </rPr>
      <t xml:space="preserve"> e/liter]</t>
    </r>
  </si>
  <si>
    <r>
      <t>Direkta utsläpp,
[kg CO</t>
    </r>
    <r>
      <rPr>
        <b/>
        <vertAlign val="subscript"/>
        <sz val="11"/>
        <rFont val="Calibri"/>
        <family val="2"/>
        <scheme val="minor"/>
      </rPr>
      <t>2</t>
    </r>
    <r>
      <rPr>
        <b/>
        <sz val="11"/>
        <rFont val="Calibri"/>
        <family val="2"/>
        <scheme val="minor"/>
      </rPr>
      <t xml:space="preserve"> e/liter]</t>
    </r>
  </si>
  <si>
    <t>Bensin MK1</t>
  </si>
  <si>
    <t>E85</t>
  </si>
  <si>
    <t>Fråga Kristin</t>
  </si>
  <si>
    <t>Restprodukt</t>
  </si>
  <si>
    <t>Hantering</t>
  </si>
  <si>
    <t>Vikt [ton/år]</t>
  </si>
  <si>
    <t>Transportdistans [km]</t>
  </si>
  <si>
    <t>Drivmedel lastbil 
(diesel eller fossilfritt)</t>
  </si>
  <si>
    <r>
      <t>Emissionsfaktor
[kg CO</t>
    </r>
    <r>
      <rPr>
        <b/>
        <vertAlign val="subscript"/>
        <sz val="11"/>
        <rFont val="Calibri"/>
        <family val="2"/>
        <scheme val="minor"/>
      </rPr>
      <t>2</t>
    </r>
    <r>
      <rPr>
        <b/>
        <sz val="11"/>
        <rFont val="Calibri"/>
        <family val="2"/>
        <scheme val="minor"/>
      </rPr>
      <t xml:space="preserve"> e/ton]</t>
    </r>
  </si>
  <si>
    <t>Sand</t>
  </si>
  <si>
    <t>Återvinning</t>
  </si>
  <si>
    <t>Deponi</t>
  </si>
  <si>
    <t>Aktivt kol</t>
  </si>
  <si>
    <t>Rens</t>
  </si>
  <si>
    <t>Förbränning</t>
  </si>
  <si>
    <t>Deponitäckning</t>
  </si>
  <si>
    <t>Jordtillverkning</t>
  </si>
  <si>
    <t>Spridning på åkermark</t>
  </si>
  <si>
    <t>Vattenverksslam och dylika restprodukter
 från fällning av organiska ämnen</t>
  </si>
  <si>
    <t>Kalkslam och dylika restprodukter 
från avhärdning av vatten</t>
  </si>
  <si>
    <t>Uppgradering (egen regi)</t>
  </si>
  <si>
    <t>Uppgradering (annans regi)</t>
  </si>
  <si>
    <t>Fackling</t>
  </si>
  <si>
    <t>Förbränning i panna</t>
  </si>
  <si>
    <t>Lägg in information om direkta emissioner från avloppsreningverk i sektionen nedanför. Om uppmätta värden finns att tillgå för anläggningen, fylls de värdena i i de celler märkta med "Uppmätt värde:". Finns inga uppmätta värden att tillgå beräknas uppskattade värden baserat på litteratur. För vissa delar kan ytterligare information behövas för att beräkna uppskattade värden, följ instruktionerna nedan. Om ett uppmätt och ett uppskattat värde finns ifyllda används det uppmätta värdet före det uppskattade i klimatberäkningen. Var uppmärksam på enheter som efterfrågas!</t>
  </si>
  <si>
    <r>
      <t>Vattenfas - metan (CH</t>
    </r>
    <r>
      <rPr>
        <b/>
        <vertAlign val="subscript"/>
        <sz val="11"/>
        <color theme="1"/>
        <rFont val="Calibri"/>
        <family val="2"/>
        <scheme val="minor"/>
      </rPr>
      <t>4</t>
    </r>
    <r>
      <rPr>
        <b/>
        <sz val="11"/>
        <color theme="1"/>
        <rFont val="Calibri"/>
        <family val="2"/>
        <scheme val="minor"/>
      </rPr>
      <t>)</t>
    </r>
  </si>
  <si>
    <t>Uppmätt värde:</t>
  </si>
  <si>
    <t>Metanemissioner från vattenfas:</t>
  </si>
  <si>
    <r>
      <t>kg CH</t>
    </r>
    <r>
      <rPr>
        <vertAlign val="subscript"/>
        <sz val="10"/>
        <color theme="1"/>
        <rFont val="Calibri"/>
        <family val="2"/>
        <scheme val="minor"/>
      </rPr>
      <t>4</t>
    </r>
    <r>
      <rPr>
        <sz val="10"/>
        <color theme="1"/>
        <rFont val="Calibri"/>
        <family val="2"/>
        <scheme val="minor"/>
      </rPr>
      <t>/år</t>
    </r>
  </si>
  <si>
    <r>
      <t>Nm</t>
    </r>
    <r>
      <rPr>
        <vertAlign val="superscript"/>
        <sz val="10"/>
        <color theme="1"/>
        <rFont val="Calibri"/>
        <family val="2"/>
        <scheme val="minor"/>
      </rPr>
      <t>3</t>
    </r>
    <r>
      <rPr>
        <sz val="10"/>
        <color theme="1"/>
        <rFont val="Calibri"/>
        <family val="2"/>
        <scheme val="minor"/>
      </rPr>
      <t>/år</t>
    </r>
  </si>
  <si>
    <t>Uppskattat värde:</t>
  </si>
  <si>
    <t>Ange kg COD i inkommande vatten (per år):</t>
  </si>
  <si>
    <r>
      <t>kg COD</t>
    </r>
    <r>
      <rPr>
        <vertAlign val="subscript"/>
        <sz val="10"/>
        <color theme="1"/>
        <rFont val="Calibri"/>
        <family val="2"/>
        <scheme val="minor"/>
      </rPr>
      <t>inkommande</t>
    </r>
    <r>
      <rPr>
        <sz val="10"/>
        <color theme="1"/>
        <rFont val="Calibri"/>
        <family val="2"/>
        <scheme val="minor"/>
      </rPr>
      <t>/år</t>
    </r>
  </si>
  <si>
    <t>%</t>
  </si>
  <si>
    <r>
      <t>Vattenfas - lustgas (N</t>
    </r>
    <r>
      <rPr>
        <b/>
        <vertAlign val="subscript"/>
        <sz val="11"/>
        <color theme="1"/>
        <rFont val="Calibri"/>
        <family val="2"/>
        <scheme val="minor"/>
      </rPr>
      <t>2</t>
    </r>
    <r>
      <rPr>
        <b/>
        <sz val="11"/>
        <color theme="1"/>
        <rFont val="Calibri"/>
        <family val="2"/>
        <scheme val="minor"/>
      </rPr>
      <t>O)</t>
    </r>
  </si>
  <si>
    <t>Lustgasemissioner från biologisk rening:</t>
  </si>
  <si>
    <r>
      <t>kg N</t>
    </r>
    <r>
      <rPr>
        <vertAlign val="subscript"/>
        <sz val="10"/>
        <color theme="1"/>
        <rFont val="Calibri"/>
        <family val="2"/>
        <scheme val="minor"/>
      </rPr>
      <t>2</t>
    </r>
    <r>
      <rPr>
        <sz val="10"/>
        <color theme="1"/>
        <rFont val="Calibri"/>
        <family val="2"/>
        <scheme val="minor"/>
      </rPr>
      <t>O/år</t>
    </r>
  </si>
  <si>
    <t>Uppmätta värden:</t>
  </si>
  <si>
    <r>
      <t>Separat rejektvattenrening - lustgas (N</t>
    </r>
    <r>
      <rPr>
        <b/>
        <vertAlign val="subscript"/>
        <sz val="11"/>
        <color theme="1"/>
        <rFont val="Calibri"/>
        <family val="2"/>
        <scheme val="minor"/>
      </rPr>
      <t>2</t>
    </r>
    <r>
      <rPr>
        <b/>
        <sz val="11"/>
        <color theme="1"/>
        <rFont val="Calibri"/>
        <family val="2"/>
        <scheme val="minor"/>
      </rPr>
      <t>O)</t>
    </r>
  </si>
  <si>
    <t>Lustgasemissioner från rejektvattenrening:</t>
  </si>
  <si>
    <r>
      <t>Recipient - metan (CH</t>
    </r>
    <r>
      <rPr>
        <b/>
        <vertAlign val="subscript"/>
        <sz val="11"/>
        <color theme="1"/>
        <rFont val="Calibri"/>
        <family val="2"/>
        <scheme val="minor"/>
      </rPr>
      <t>4</t>
    </r>
    <r>
      <rPr>
        <b/>
        <sz val="11"/>
        <color theme="1"/>
        <rFont val="Calibri"/>
        <family val="2"/>
        <scheme val="minor"/>
      </rPr>
      <t>) och lustgas (N</t>
    </r>
    <r>
      <rPr>
        <b/>
        <vertAlign val="subscript"/>
        <sz val="11"/>
        <color theme="1"/>
        <rFont val="Calibri"/>
        <family val="2"/>
        <scheme val="minor"/>
      </rPr>
      <t>2</t>
    </r>
    <r>
      <rPr>
        <b/>
        <sz val="11"/>
        <color theme="1"/>
        <rFont val="Calibri"/>
        <family val="2"/>
        <scheme val="minor"/>
      </rPr>
      <t>O)</t>
    </r>
  </si>
  <si>
    <t>Ange reducerad kvävemängd i rejektvattenrening:</t>
  </si>
  <si>
    <t>kg N-tot/år</t>
  </si>
  <si>
    <t>Ange mängden BOD i utgående vatten:</t>
  </si>
  <si>
    <t>Ange mängden kväve i utgående vatten:</t>
  </si>
  <si>
    <t>Resulterande emissioner</t>
  </si>
  <si>
    <t>Metanemissioner från recipient:</t>
  </si>
  <si>
    <t>Lustgasemissioner från recipient:</t>
  </si>
  <si>
    <t>Kolkälla</t>
  </si>
  <si>
    <t>Transportdistans lastbil [km]</t>
  </si>
  <si>
    <r>
      <t>Emissionsfaktor kolkälla produktion
[kg CO</t>
    </r>
    <r>
      <rPr>
        <b/>
        <vertAlign val="subscript"/>
        <sz val="11"/>
        <rFont val="Calibri"/>
        <family val="2"/>
        <scheme val="minor"/>
      </rPr>
      <t>2</t>
    </r>
    <r>
      <rPr>
        <b/>
        <sz val="11"/>
        <rFont val="Calibri"/>
        <family val="2"/>
        <scheme val="minor"/>
      </rPr>
      <t xml:space="preserve"> e/ton] </t>
    </r>
  </si>
  <si>
    <r>
      <t>Emissionsfaktor kolkälla respiration
[kg CO</t>
    </r>
    <r>
      <rPr>
        <b/>
        <vertAlign val="subscript"/>
        <sz val="11"/>
        <rFont val="Calibri"/>
        <family val="2"/>
        <scheme val="minor"/>
      </rPr>
      <t>2</t>
    </r>
    <r>
      <rPr>
        <b/>
        <sz val="11"/>
        <rFont val="Calibri"/>
        <family val="2"/>
        <scheme val="minor"/>
      </rPr>
      <t xml:space="preserve"> e/ton] </t>
    </r>
  </si>
  <si>
    <r>
      <t>Emissionsfaktor transport
[kg CO</t>
    </r>
    <r>
      <rPr>
        <b/>
        <vertAlign val="subscript"/>
        <sz val="11"/>
        <rFont val="Calibri"/>
        <family val="2"/>
        <scheme val="minor"/>
      </rPr>
      <t>2</t>
    </r>
    <r>
      <rPr>
        <b/>
        <sz val="11"/>
        <rFont val="Calibri"/>
        <family val="2"/>
        <scheme val="minor"/>
      </rPr>
      <t xml:space="preserve"> e/tonkm]</t>
    </r>
  </si>
  <si>
    <t>Metanol, fossil</t>
  </si>
  <si>
    <t>Metanol, biobaserad</t>
  </si>
  <si>
    <t>Etanol, fossil</t>
  </si>
  <si>
    <t>Etanol, biobaserad</t>
  </si>
  <si>
    <t>Sekundol/isopropanol</t>
  </si>
  <si>
    <r>
      <t>Emissionsfaktor kemikalie 
[kg CO</t>
    </r>
    <r>
      <rPr>
        <b/>
        <vertAlign val="subscript"/>
        <sz val="11"/>
        <rFont val="Calibri"/>
        <family val="2"/>
        <scheme val="minor"/>
      </rPr>
      <t>2</t>
    </r>
    <r>
      <rPr>
        <b/>
        <sz val="11"/>
        <rFont val="Calibri"/>
        <family val="2"/>
        <scheme val="minor"/>
      </rPr>
      <t xml:space="preserve"> e/ton] </t>
    </r>
  </si>
  <si>
    <t>PAC (PAX-15)</t>
  </si>
  <si>
    <t>PAC (PAX-215)</t>
  </si>
  <si>
    <t>Polymer</t>
  </si>
  <si>
    <t>Polyakrylamid</t>
  </si>
  <si>
    <t>Kemikalier</t>
  </si>
  <si>
    <t>Bränd kalk (CaO)</t>
  </si>
  <si>
    <r>
      <t>Kalksten (CaCO</t>
    </r>
    <r>
      <rPr>
        <vertAlign val="subscript"/>
        <sz val="10"/>
        <rFont val="Calibri"/>
        <family val="2"/>
        <scheme val="minor"/>
      </rPr>
      <t>3</t>
    </r>
    <r>
      <rPr>
        <sz val="10"/>
        <rFont val="Calibri"/>
        <family val="2"/>
        <scheme val="minor"/>
      </rPr>
      <t>)</t>
    </r>
  </si>
  <si>
    <t xml:space="preserve">Klor </t>
  </si>
  <si>
    <t>Aktivt kol, fossilt ursprung</t>
  </si>
  <si>
    <t>Svavelsyra (96%)</t>
  </si>
  <si>
    <t>Ammoniumsulfat</t>
  </si>
  <si>
    <t>Natriumsilikat</t>
  </si>
  <si>
    <t>Natriumkarbonat</t>
  </si>
  <si>
    <t>Koldioxid</t>
  </si>
  <si>
    <t>Citronsyra</t>
  </si>
  <si>
    <t>Frivillig rapporteringsflik</t>
  </si>
  <si>
    <r>
      <t xml:space="preserve">Lägg in information om återvunna restprodukter för den aktuella anläggningen i de gröna fälten. Alla gröna fält behöver inte vara ifyllda. 
Informationen som läggs in ska vara på årsbasis. Den beräknade potentiella klimatnyttan ska </t>
    </r>
    <r>
      <rPr>
        <b/>
        <sz val="11"/>
        <color theme="1"/>
        <rFont val="Calibri"/>
        <family val="2"/>
        <scheme val="minor"/>
      </rPr>
      <t>inte</t>
    </r>
    <r>
      <rPr>
        <sz val="11"/>
        <color theme="1"/>
        <rFont val="Calibri"/>
        <family val="2"/>
        <scheme val="minor"/>
      </rPr>
      <t xml:space="preserve"> adderas till resultatet i föregående flikar. </t>
    </r>
  </si>
  <si>
    <t xml:space="preserve">Beräknad potentiell klimatnytta för det aktuella året </t>
  </si>
  <si>
    <t>Hanteringsmetod</t>
  </si>
  <si>
    <t>Specifikation</t>
  </si>
  <si>
    <t>Kvalitetsfaktor</t>
  </si>
  <si>
    <r>
      <t>Potentiell klimatnytta 
[kg CO</t>
    </r>
    <r>
      <rPr>
        <b/>
        <vertAlign val="subscript"/>
        <sz val="11"/>
        <rFont val="Calibri"/>
        <family val="2"/>
        <scheme val="minor"/>
      </rPr>
      <t>2</t>
    </r>
    <r>
      <rPr>
        <b/>
        <sz val="11"/>
        <rFont val="Calibri"/>
        <family val="2"/>
        <scheme val="minor"/>
      </rPr>
      <t xml:space="preserve"> e/år]</t>
    </r>
  </si>
  <si>
    <t>Överskottsel såld på nätet</t>
  </si>
  <si>
    <t>Överskottsvärme såld till industri eller hushåll*</t>
  </si>
  <si>
    <t xml:space="preserve">Såld värme ersätter lokal fjärrvärmemix. </t>
  </si>
  <si>
    <t>Avloppsslam</t>
  </si>
  <si>
    <t>Årsvolymer [ton]</t>
  </si>
  <si>
    <r>
      <t>Emissionsfaktor 
undviken produktion 
[kg CO</t>
    </r>
    <r>
      <rPr>
        <b/>
        <vertAlign val="subscript"/>
        <sz val="11"/>
        <rFont val="Calibri"/>
        <family val="2"/>
        <scheme val="minor"/>
      </rPr>
      <t>2</t>
    </r>
    <r>
      <rPr>
        <b/>
        <sz val="11"/>
        <rFont val="Calibri"/>
        <family val="2"/>
        <scheme val="minor"/>
      </rPr>
      <t xml:space="preserve"> e/ton]</t>
    </r>
  </si>
  <si>
    <r>
      <t>Komposterat avloppsslam ersätter torv (1 m</t>
    </r>
    <r>
      <rPr>
        <vertAlign val="superscript"/>
        <sz val="11"/>
        <color theme="1"/>
        <rFont val="Calibri"/>
        <family val="2"/>
        <scheme val="minor"/>
      </rPr>
      <t>3</t>
    </r>
    <r>
      <rPr>
        <sz val="11"/>
        <color theme="1"/>
        <rFont val="Calibri"/>
        <family val="2"/>
        <scheme val="minor"/>
      </rPr>
      <t>/1 m</t>
    </r>
    <r>
      <rPr>
        <vertAlign val="superscript"/>
        <sz val="11"/>
        <color theme="1"/>
        <rFont val="Calibri"/>
        <family val="2"/>
        <scheme val="minor"/>
      </rPr>
      <t>3</t>
    </r>
    <r>
      <rPr>
        <sz val="11"/>
        <color theme="1"/>
        <rFont val="Calibri"/>
        <family val="2"/>
        <scheme val="minor"/>
      </rPr>
      <t xml:space="preserve">). </t>
    </r>
  </si>
  <si>
    <t>Baserat på vikt/volym-förhållande</t>
  </si>
  <si>
    <t>Spridning på åkermark, kväve (N) som tot-N</t>
  </si>
  <si>
    <t>Kväve i slam ersätter AN.</t>
  </si>
  <si>
    <t>Spridning på åkermark, fosfor (P) som tot-P</t>
  </si>
  <si>
    <t>Restprodukter från vattenverk</t>
  </si>
  <si>
    <t xml:space="preserve">Potentiella klimatnyttor från vattenverk uppstår vid återvinning av kalkgranuler från avhärdning av vatten. Ange mängd kalkslam som går till återvinning.  </t>
  </si>
  <si>
    <t>Fraktion och hanteringsmetod</t>
  </si>
  <si>
    <t xml:space="preserve">Återvunna kalkgranuler ersätter kalksten. </t>
  </si>
  <si>
    <t>Resultatpresentation</t>
  </si>
  <si>
    <r>
      <t>Kg CO</t>
    </r>
    <r>
      <rPr>
        <b/>
        <vertAlign val="subscript"/>
        <sz val="11"/>
        <color theme="1"/>
        <rFont val="Calibri"/>
        <family val="2"/>
        <scheme val="minor"/>
      </rPr>
      <t>2</t>
    </r>
    <r>
      <rPr>
        <b/>
        <sz val="11"/>
        <color theme="1"/>
        <rFont val="Calibri"/>
        <family val="2"/>
        <scheme val="minor"/>
      </rPr>
      <t xml:space="preserve"> e per m</t>
    </r>
    <r>
      <rPr>
        <b/>
        <vertAlign val="superscript"/>
        <sz val="11"/>
        <color theme="1"/>
        <rFont val="Calibri"/>
        <family val="2"/>
        <scheme val="minor"/>
      </rPr>
      <t>3</t>
    </r>
    <r>
      <rPr>
        <b/>
        <sz val="11"/>
        <color theme="1"/>
        <rFont val="Calibri"/>
        <family val="2"/>
        <scheme val="minor"/>
      </rPr>
      <t xml:space="preserve"> renat vatten</t>
    </r>
  </si>
  <si>
    <r>
      <t>Kg CO</t>
    </r>
    <r>
      <rPr>
        <b/>
        <vertAlign val="subscript"/>
        <sz val="11"/>
        <color theme="1"/>
        <rFont val="Calibri"/>
        <family val="2"/>
        <scheme val="minor"/>
      </rPr>
      <t>2</t>
    </r>
    <r>
      <rPr>
        <b/>
        <sz val="11"/>
        <color theme="1"/>
        <rFont val="Calibri"/>
        <family val="2"/>
        <scheme val="minor"/>
      </rPr>
      <t xml:space="preserve"> e per kg reducerat kväve</t>
    </r>
  </si>
  <si>
    <r>
      <t>Kg CO</t>
    </r>
    <r>
      <rPr>
        <b/>
        <vertAlign val="subscript"/>
        <sz val="11"/>
        <color theme="1"/>
        <rFont val="Calibri"/>
        <family val="2"/>
        <scheme val="minor"/>
      </rPr>
      <t>2</t>
    </r>
    <r>
      <rPr>
        <b/>
        <sz val="11"/>
        <color theme="1"/>
        <rFont val="Calibri"/>
        <family val="2"/>
        <scheme val="minor"/>
      </rPr>
      <t xml:space="preserve"> e per personekvivalent</t>
    </r>
  </si>
  <si>
    <t>Indirekta utsläpp från produktion av kemikalier</t>
  </si>
  <si>
    <t>Inköpta transporter, av logistikbolag</t>
  </si>
  <si>
    <t>El-, värme- och fjärrkylaförbrukning</t>
  </si>
  <si>
    <t>Direkta emissioner från företagsägda bilar, reservkraft och värme</t>
  </si>
  <si>
    <t>Indirekta emissioner från företagsägda bilar och reservkraft</t>
  </si>
  <si>
    <r>
      <t>Direkta emissioner av CO</t>
    </r>
    <r>
      <rPr>
        <b/>
        <vertAlign val="subscript"/>
        <sz val="11"/>
        <color theme="1"/>
        <rFont val="Calibri"/>
        <family val="2"/>
        <scheme val="minor"/>
      </rPr>
      <t>2</t>
    </r>
    <r>
      <rPr>
        <b/>
        <sz val="11"/>
        <color theme="1"/>
        <rFont val="Calibri"/>
        <family val="2"/>
        <scheme val="minor"/>
      </rPr>
      <t xml:space="preserve"> från respiration av kolkälla</t>
    </r>
  </si>
  <si>
    <r>
      <t>Direkta emissioner av N</t>
    </r>
    <r>
      <rPr>
        <b/>
        <vertAlign val="subscript"/>
        <sz val="11"/>
        <color theme="1"/>
        <rFont val="Calibri"/>
        <family val="2"/>
        <scheme val="minor"/>
      </rPr>
      <t>2</t>
    </r>
    <r>
      <rPr>
        <b/>
        <sz val="11"/>
        <color theme="1"/>
        <rFont val="Calibri"/>
        <family val="2"/>
        <scheme val="minor"/>
      </rPr>
      <t>O</t>
    </r>
  </si>
  <si>
    <r>
      <t>Direkta emissioner av CH</t>
    </r>
    <r>
      <rPr>
        <b/>
        <vertAlign val="subscript"/>
        <sz val="11"/>
        <color theme="1"/>
        <rFont val="Calibri"/>
        <family val="2"/>
        <scheme val="minor"/>
      </rPr>
      <t>4</t>
    </r>
  </si>
  <si>
    <t>Emissioner från restprodukter</t>
  </si>
  <si>
    <t>Detaljerad resultatpresentation</t>
  </si>
  <si>
    <r>
      <t>Ledningsnät [kg CO</t>
    </r>
    <r>
      <rPr>
        <b/>
        <vertAlign val="subscript"/>
        <sz val="11"/>
        <color theme="1"/>
        <rFont val="Calibri"/>
        <family val="2"/>
        <scheme val="minor"/>
      </rPr>
      <t>2</t>
    </r>
    <r>
      <rPr>
        <b/>
        <sz val="11"/>
        <color theme="1"/>
        <rFont val="Calibri"/>
        <family val="2"/>
        <scheme val="minor"/>
      </rPr>
      <t xml:space="preserve"> e/år]</t>
    </r>
  </si>
  <si>
    <r>
      <t>Drift [kg CO</t>
    </r>
    <r>
      <rPr>
        <b/>
        <vertAlign val="subscript"/>
        <sz val="11"/>
        <color theme="1"/>
        <rFont val="Calibri"/>
        <family val="2"/>
        <scheme val="minor"/>
      </rPr>
      <t>2</t>
    </r>
    <r>
      <rPr>
        <b/>
        <sz val="11"/>
        <color theme="1"/>
        <rFont val="Calibri"/>
        <family val="2"/>
        <scheme val="minor"/>
      </rPr>
      <t xml:space="preserve"> e/år]</t>
    </r>
  </si>
  <si>
    <r>
      <t>Värme indirekt [kg CO</t>
    </r>
    <r>
      <rPr>
        <b/>
        <vertAlign val="subscript"/>
        <sz val="11"/>
        <color theme="1"/>
        <rFont val="Calibri"/>
        <family val="2"/>
        <scheme val="minor"/>
      </rPr>
      <t>2</t>
    </r>
    <r>
      <rPr>
        <b/>
        <sz val="11"/>
        <color theme="1"/>
        <rFont val="Calibri"/>
        <family val="2"/>
        <scheme val="minor"/>
      </rPr>
      <t xml:space="preserve"> e/år]</t>
    </r>
  </si>
  <si>
    <r>
      <t>Värme direkt [kg CO</t>
    </r>
    <r>
      <rPr>
        <b/>
        <vertAlign val="subscript"/>
        <sz val="11"/>
        <color theme="1"/>
        <rFont val="Calibri"/>
        <family val="2"/>
        <scheme val="minor"/>
      </rPr>
      <t>2</t>
    </r>
    <r>
      <rPr>
        <b/>
        <sz val="11"/>
        <color theme="1"/>
        <rFont val="Calibri"/>
        <family val="2"/>
        <scheme val="minor"/>
      </rPr>
      <t xml:space="preserve"> e/år]</t>
    </r>
  </si>
  <si>
    <t>Förtydligande</t>
  </si>
  <si>
    <t>Restprodukter [kg CO2 e/år]</t>
  </si>
  <si>
    <t>Transporter [kg CO2 e/år]</t>
  </si>
  <si>
    <t>Polymer [kg CO2 e/år]</t>
  </si>
  <si>
    <t>Övriga kemikalier</t>
  </si>
  <si>
    <t>Kemikalie [kg CO2 e/år]</t>
  </si>
  <si>
    <t>Vattenverksslam</t>
  </si>
  <si>
    <t>Fällningskemikalier</t>
  </si>
  <si>
    <t>[kg CO2 e/år]</t>
  </si>
  <si>
    <t>Metanemissioner från vattenfas</t>
  </si>
  <si>
    <t>Lustgasemissioner från vattenfas</t>
  </si>
  <si>
    <t>Lustgasemissioner separat rejektvattenrening</t>
  </si>
  <si>
    <t>Indirekt [kg CO2 e/år]</t>
  </si>
  <si>
    <t>Direkt [kg CO2 e/år]</t>
  </si>
  <si>
    <t>Metanemissioner från rötkammare</t>
  </si>
  <si>
    <t>Metanemissioner från slamlager</t>
  </si>
  <si>
    <t>Metanemissioner från recipient</t>
  </si>
  <si>
    <r>
      <t xml:space="preserve">Lustgasemissioner från </t>
    </r>
    <r>
      <rPr>
        <sz val="11"/>
        <color theme="1"/>
        <rFont val="Calibri"/>
        <family val="2"/>
        <scheme val="minor"/>
      </rPr>
      <t>recipient</t>
    </r>
  </si>
  <si>
    <t>Referenser</t>
  </si>
  <si>
    <t>För fullständiga referenser, se den kompletterande användarmanualen.</t>
  </si>
  <si>
    <t>Källa</t>
  </si>
  <si>
    <t>Värmekälla</t>
  </si>
  <si>
    <t>Vattenfall (2021)</t>
  </si>
  <si>
    <t>Kolkällor</t>
  </si>
  <si>
    <t>Arom Dekor (2020)</t>
  </si>
  <si>
    <t>Emissioner från respiration</t>
  </si>
  <si>
    <t>Beräkningar enligt verktyg från VA-teknik Södra (2021)</t>
  </si>
  <si>
    <t>Restprodukter</t>
  </si>
  <si>
    <t>Sand, deponi</t>
  </si>
  <si>
    <t>Rens, förbränning</t>
  </si>
  <si>
    <t>Avloppsslam, till avfallsförbränningsanläggning</t>
  </si>
  <si>
    <t>Avloppsslam, till deponitäckning</t>
  </si>
  <si>
    <t xml:space="preserve">Grundestam et al. (2020) </t>
  </si>
  <si>
    <t>Avloppsslam, till jordtillverkning</t>
  </si>
  <si>
    <t>Avloppsslam, spridning på åkermark</t>
  </si>
  <si>
    <t>Vattenverksslam, till deponi</t>
  </si>
  <si>
    <t>Kalkslam, till deponi</t>
  </si>
  <si>
    <t>Biogas, till uppgradering</t>
  </si>
  <si>
    <t>IPCC (2019)</t>
  </si>
  <si>
    <t>Biogas, till förbränning i panna</t>
  </si>
  <si>
    <t>Brown et al (2010)</t>
  </si>
  <si>
    <t>Transporter</t>
  </si>
  <si>
    <t>Lastbil, dieseldriven</t>
  </si>
  <si>
    <t>NTM (2020)</t>
  </si>
  <si>
    <t>Lastbil, HVO</t>
  </si>
  <si>
    <t>Potentiella klimatnyttor</t>
  </si>
  <si>
    <t>Värme</t>
  </si>
  <si>
    <t>Jord</t>
  </si>
  <si>
    <t>Handelsgödsel, kväve</t>
  </si>
  <si>
    <t>Handelsgödsel, fosfor</t>
  </si>
  <si>
    <t>Kvalitetsfaktor, kväve i slam</t>
  </si>
  <si>
    <t>Svanström et al. (2016)</t>
  </si>
  <si>
    <t>Kvalitetsfaktor, fosfor i slam</t>
  </si>
  <si>
    <t>Kalk</t>
  </si>
  <si>
    <t>Emissionsfaktorer för beräkning av uppskattade emissioner</t>
  </si>
  <si>
    <t>Direkta utsläpp</t>
  </si>
  <si>
    <t>Valt värde</t>
  </si>
  <si>
    <t>Enhet</t>
  </si>
  <si>
    <t>Metan från vattenfas</t>
  </si>
  <si>
    <t>kg CH4/kg inkommande COD</t>
  </si>
  <si>
    <t xml:space="preserve">Foley et al. (2010b) och Foley et al. (2008) </t>
  </si>
  <si>
    <t>Stenström et al (2017), SVU-rapport 2017-11</t>
  </si>
  <si>
    <t>Densitet biogas</t>
  </si>
  <si>
    <t>kg/Nm3</t>
  </si>
  <si>
    <t>SGC (2012)</t>
  </si>
  <si>
    <t>kg CH4/ton TS slam</t>
  </si>
  <si>
    <t>Nilsson Påledal et al. (2020)</t>
  </si>
  <si>
    <t>kg CH4/kg utgående BOD</t>
  </si>
  <si>
    <t>kg N2O/kg N i utgående vatten</t>
  </si>
  <si>
    <t>Koldioxid (fossilt ursprung)</t>
  </si>
  <si>
    <r>
      <t>kg CO</t>
    </r>
    <r>
      <rPr>
        <vertAlign val="subscript"/>
        <sz val="11"/>
        <color theme="1"/>
        <rFont val="Calibri"/>
        <family val="2"/>
        <scheme val="minor"/>
      </rPr>
      <t>2</t>
    </r>
    <r>
      <rPr>
        <sz val="11"/>
        <color theme="1"/>
        <rFont val="Calibri"/>
        <family val="2"/>
        <scheme val="minor"/>
      </rPr>
      <t>-ekvivalenter</t>
    </r>
  </si>
  <si>
    <t>Lustgas</t>
  </si>
  <si>
    <t>Fossilfritt</t>
  </si>
  <si>
    <t>Förbrukning anläggningsdrift [MWh/år]</t>
  </si>
  <si>
    <r>
      <t>Emissionsfaktor
[kg CO</t>
    </r>
    <r>
      <rPr>
        <b/>
        <vertAlign val="subscript"/>
        <sz val="11"/>
        <rFont val="Calibri"/>
        <family val="2"/>
        <scheme val="minor"/>
      </rPr>
      <t>2</t>
    </r>
    <r>
      <rPr>
        <b/>
        <sz val="11"/>
        <rFont val="Calibri"/>
        <family val="2"/>
        <scheme val="minor"/>
      </rPr>
      <t xml:space="preserve"> e/MWh]</t>
    </r>
  </si>
  <si>
    <t>TS-halt i slammet:</t>
  </si>
  <si>
    <t>Kallfackling</t>
  </si>
  <si>
    <r>
      <t>Uppgradering och användning av biogas - metan (CH</t>
    </r>
    <r>
      <rPr>
        <b/>
        <vertAlign val="subscript"/>
        <sz val="11"/>
        <color theme="1"/>
        <rFont val="Calibri"/>
        <family val="2"/>
        <scheme val="minor"/>
      </rPr>
      <t>4</t>
    </r>
    <r>
      <rPr>
        <b/>
        <sz val="11"/>
        <color theme="1"/>
        <rFont val="Calibri"/>
        <family val="2"/>
        <scheme val="minor"/>
      </rPr>
      <t>)</t>
    </r>
  </si>
  <si>
    <t>Slip [%]</t>
  </si>
  <si>
    <t>Metanemissioner från uppgradering (egen regi):</t>
  </si>
  <si>
    <r>
      <t>Mängd [Nm</t>
    </r>
    <r>
      <rPr>
        <b/>
        <vertAlign val="superscript"/>
        <sz val="11"/>
        <color theme="1"/>
        <rFont val="Calibri"/>
        <family val="2"/>
        <scheme val="minor"/>
      </rPr>
      <t>3</t>
    </r>
    <r>
      <rPr>
        <b/>
        <sz val="11"/>
        <color theme="1"/>
        <rFont val="Calibri"/>
        <family val="2"/>
        <scheme val="minor"/>
      </rPr>
      <t>/år]</t>
    </r>
  </si>
  <si>
    <t>ton slam/år</t>
  </si>
  <si>
    <t>Förbrukning [MWh/år]</t>
  </si>
  <si>
    <r>
      <t>Indirekta utsläpp, 
[kg CO</t>
    </r>
    <r>
      <rPr>
        <b/>
        <vertAlign val="subscript"/>
        <sz val="11"/>
        <rFont val="Calibri"/>
        <family val="2"/>
        <scheme val="minor"/>
      </rPr>
      <t>2</t>
    </r>
    <r>
      <rPr>
        <b/>
        <sz val="11"/>
        <rFont val="Calibri"/>
        <family val="2"/>
        <scheme val="minor"/>
      </rPr>
      <t xml:space="preserve"> e/MWh]</t>
    </r>
  </si>
  <si>
    <r>
      <t>Direkta utsläpp,
[kg CO</t>
    </r>
    <r>
      <rPr>
        <b/>
        <vertAlign val="subscript"/>
        <sz val="11"/>
        <rFont val="Calibri"/>
        <family val="2"/>
        <scheme val="minor"/>
      </rPr>
      <t>2</t>
    </r>
    <r>
      <rPr>
        <b/>
        <sz val="11"/>
        <rFont val="Calibri"/>
        <family val="2"/>
        <scheme val="minor"/>
      </rPr>
      <t xml:space="preserve"> e/MWh]</t>
    </r>
  </si>
  <si>
    <r>
      <t>Släckt kalk (Ca(OH)</t>
    </r>
    <r>
      <rPr>
        <vertAlign val="subscript"/>
        <sz val="10"/>
        <rFont val="Calibri"/>
        <family val="2"/>
        <scheme val="minor"/>
      </rPr>
      <t>2</t>
    </r>
    <r>
      <rPr>
        <sz val="10"/>
        <rFont val="Calibri"/>
        <family val="2"/>
        <scheme val="minor"/>
      </rPr>
      <t>)</t>
    </r>
  </si>
  <si>
    <t>Nitrifikation-denitrifikation i SBR</t>
  </si>
  <si>
    <t>Aktivt kol, reaktiverat</t>
  </si>
  <si>
    <t>Reaktivering*</t>
  </si>
  <si>
    <t>* Mängden inköpt reaktiverat aktivt kol anges i nästkommande flik under "Inköp av övriga kemikalier".</t>
  </si>
  <si>
    <t>Egna anteckningar</t>
  </si>
  <si>
    <t xml:space="preserve">Här kan ni lägga in era egna anteckningar och kommentarer till beräkningarna för enklare uppföljning. </t>
  </si>
  <si>
    <t>Förbrukning 
ledningsnät [MWh/år]</t>
  </si>
  <si>
    <t>Metanemissioner från uppgradering i egen regi</t>
  </si>
  <si>
    <t>Metanemissioner från uppgradering i annans regi</t>
  </si>
  <si>
    <t>Metanemissioner från förbränning i panna</t>
  </si>
  <si>
    <t>Metanemissioner från fackling</t>
  </si>
  <si>
    <t>Metanemissioner från kallfackling</t>
  </si>
  <si>
    <r>
      <t>5. Direkta utsläpp av N</t>
    </r>
    <r>
      <rPr>
        <b/>
        <vertAlign val="subscript"/>
        <sz val="11"/>
        <rFont val="Calibri"/>
        <family val="2"/>
        <scheme val="minor"/>
      </rPr>
      <t>2</t>
    </r>
    <r>
      <rPr>
        <b/>
        <sz val="11"/>
        <rFont val="Calibri"/>
        <family val="2"/>
        <scheme val="minor"/>
      </rPr>
      <t>O och CH</t>
    </r>
    <r>
      <rPr>
        <b/>
        <vertAlign val="subscript"/>
        <sz val="11"/>
        <rFont val="Calibri"/>
        <family val="2"/>
        <scheme val="minor"/>
      </rPr>
      <t>4</t>
    </r>
  </si>
  <si>
    <t>Total klimatpåverkan</t>
  </si>
  <si>
    <r>
      <t>ton CO</t>
    </r>
    <r>
      <rPr>
        <b/>
        <vertAlign val="subscript"/>
        <sz val="11"/>
        <color theme="1"/>
        <rFont val="Calibri"/>
        <family val="2"/>
        <scheme val="minor"/>
      </rPr>
      <t>2</t>
    </r>
    <r>
      <rPr>
        <b/>
        <sz val="11"/>
        <color theme="1"/>
        <rFont val="Calibri"/>
        <family val="2"/>
        <scheme val="minor"/>
      </rPr>
      <t xml:space="preserve"> e</t>
    </r>
  </si>
  <si>
    <t>Omräkning till vikt-%:</t>
  </si>
  <si>
    <t>1. El och värmeförbrukning - för avloppsreningsverk och vattenverk</t>
  </si>
  <si>
    <t>2. Drivmedel och reservkraft - för avloppsreningsverk och vattenverk</t>
  </si>
  <si>
    <t>3. Restprodukter - för avloppsreningsverk och vattenverk</t>
  </si>
  <si>
    <r>
      <t>5. Direkta utsläpp av N</t>
    </r>
    <r>
      <rPr>
        <b/>
        <vertAlign val="subscript"/>
        <sz val="11"/>
        <rFont val="Calibri"/>
        <family val="2"/>
        <scheme val="minor"/>
      </rPr>
      <t>2</t>
    </r>
    <r>
      <rPr>
        <b/>
        <sz val="11"/>
        <rFont val="Calibri"/>
        <family val="2"/>
        <scheme val="minor"/>
      </rPr>
      <t>O och CH</t>
    </r>
    <r>
      <rPr>
        <b/>
        <vertAlign val="subscript"/>
        <sz val="11"/>
        <rFont val="Calibri"/>
        <family val="2"/>
        <scheme val="minor"/>
      </rPr>
      <t>4</t>
    </r>
    <r>
      <rPr>
        <b/>
        <sz val="11"/>
        <rFont val="Calibri"/>
        <family val="2"/>
        <scheme val="minor"/>
      </rPr>
      <t xml:space="preserve"> - endast avloppsreningsverk</t>
    </r>
  </si>
  <si>
    <t>1. Elförbrukning</t>
  </si>
  <si>
    <t>1. Värmeförbrukning</t>
  </si>
  <si>
    <t>2. Drivmedel</t>
  </si>
  <si>
    <t>3. Restprodukter</t>
  </si>
  <si>
    <t>4. Rötkammare och biogas</t>
  </si>
  <si>
    <t>6. Kolkälla</t>
  </si>
  <si>
    <t>7. Fällningskemikalier</t>
  </si>
  <si>
    <t>8. Polymer</t>
  </si>
  <si>
    <t>9. Övriga kemikalier</t>
  </si>
  <si>
    <t>Scope 1 emissioner</t>
  </si>
  <si>
    <t>Scope 2 emissioner</t>
  </si>
  <si>
    <t>Kalkgranuler, återvinning</t>
  </si>
  <si>
    <t>Nyttor i förhållande till totala klimatpåverkan
[%]</t>
  </si>
  <si>
    <t>El, värme och bränslen</t>
  </si>
  <si>
    <r>
      <t>TOTAL
[ton CO</t>
    </r>
    <r>
      <rPr>
        <b/>
        <vertAlign val="subscript"/>
        <sz val="11"/>
        <color theme="1"/>
        <rFont val="Calibri"/>
        <family val="2"/>
        <scheme val="minor"/>
      </rPr>
      <t>2</t>
    </r>
    <r>
      <rPr>
        <b/>
        <sz val="11"/>
        <color theme="1"/>
        <rFont val="Calibri"/>
        <family val="2"/>
        <scheme val="minor"/>
      </rPr>
      <t xml:space="preserve"> e per år]</t>
    </r>
  </si>
  <si>
    <r>
      <t>El, värme och bränslen
[ton CO</t>
    </r>
    <r>
      <rPr>
        <b/>
        <vertAlign val="subscript"/>
        <sz val="11"/>
        <color theme="1"/>
        <rFont val="Calibri"/>
        <family val="2"/>
        <scheme val="minor"/>
      </rPr>
      <t>2</t>
    </r>
    <r>
      <rPr>
        <b/>
        <sz val="11"/>
        <color theme="1"/>
        <rFont val="Calibri"/>
        <family val="2"/>
        <scheme val="minor"/>
      </rPr>
      <t xml:space="preserve"> e per år]</t>
    </r>
  </si>
  <si>
    <r>
      <t>Dricksvattenverk 
[ton CO</t>
    </r>
    <r>
      <rPr>
        <b/>
        <vertAlign val="subscript"/>
        <sz val="11"/>
        <color theme="1"/>
        <rFont val="Calibri"/>
        <family val="2"/>
        <scheme val="minor"/>
      </rPr>
      <t>2</t>
    </r>
    <r>
      <rPr>
        <b/>
        <sz val="11"/>
        <color theme="1"/>
        <rFont val="Calibri"/>
        <family val="2"/>
        <scheme val="minor"/>
      </rPr>
      <t xml:space="preserve"> e per år]</t>
    </r>
  </si>
  <si>
    <t>Scope 3 emissioner
Uppströms</t>
  </si>
  <si>
    <t>Scope 3 emissioner
Nedströms</t>
  </si>
  <si>
    <t>Producerat fordonsbränsle</t>
  </si>
  <si>
    <t>Årsvolymer [MWh]</t>
  </si>
  <si>
    <r>
      <t>Emissionsfaktor 
undviken produktion 
[kg CO</t>
    </r>
    <r>
      <rPr>
        <b/>
        <vertAlign val="subscript"/>
        <sz val="11"/>
        <rFont val="Calibri"/>
        <family val="2"/>
        <scheme val="minor"/>
      </rPr>
      <t>2</t>
    </r>
    <r>
      <rPr>
        <b/>
        <sz val="11"/>
        <rFont val="Calibri"/>
        <family val="2"/>
        <scheme val="minor"/>
      </rPr>
      <t xml:space="preserve"> e/MWh]</t>
    </r>
  </si>
  <si>
    <t>Värme från förbränning av slam och rens*</t>
  </si>
  <si>
    <t>Kolinlagring i slamgödslade jordar</t>
  </si>
  <si>
    <t>Andel kol som antas 
bindas i jorden</t>
  </si>
  <si>
    <t>Kol som binds i jorden beräknas som undvikna koldioxidutsläpp</t>
  </si>
  <si>
    <t>Ange mängd slam som lagrats 2 månader eller mer:</t>
  </si>
  <si>
    <t xml:space="preserve">Om anläggningen har separat rejektvattenrening ange reducerad kvävemängd för något av alternativen nedan. Finns ingen separat rejektvattenrening på anläggningen, lämna samtliga gröna fält blanka och gå till nästa sektion. </t>
  </si>
  <si>
    <t>Nitritation-deammonifikation</t>
  </si>
  <si>
    <t>Scope 1</t>
  </si>
  <si>
    <t>Scope 2</t>
  </si>
  <si>
    <t>Scope 3</t>
  </si>
  <si>
    <t>El och värme</t>
  </si>
  <si>
    <t>Fordonsbränsle</t>
  </si>
  <si>
    <t>Resultatpresentation av potentiella klimatnyttor</t>
  </si>
  <si>
    <t>Kalkpellets</t>
  </si>
  <si>
    <t>Fällningskemikalie</t>
  </si>
  <si>
    <t>Fjärrvärme, lokala miljövärden*</t>
  </si>
  <si>
    <t>Fjärrkyla, lokala miljövärden**</t>
  </si>
  <si>
    <t>Lustgas från nitritation</t>
  </si>
  <si>
    <t>Lustgas från nitrifikation</t>
  </si>
  <si>
    <t>Lustgasemissioner från nitrifikation:</t>
  </si>
  <si>
    <t>Lustgasemissioner från nitritation:</t>
  </si>
  <si>
    <t>Kalkslam eller kalkpellets</t>
  </si>
  <si>
    <t>Behandling av orötat slam hos annat ARV**</t>
  </si>
  <si>
    <t xml:space="preserve">** Om ingen slambehandling finns på anläggningen kan användaren ange slam som transporteras till annat ARV för behandling. Vidare behöver ingen information om rötning, biogashantering och slambehandling anges i verktyget. </t>
  </si>
  <si>
    <r>
      <t>kg BOD</t>
    </r>
    <r>
      <rPr>
        <vertAlign val="subscript"/>
        <sz val="10"/>
        <rFont val="Calibri"/>
        <family val="2"/>
        <scheme val="minor"/>
      </rPr>
      <t>utgående</t>
    </r>
    <r>
      <rPr>
        <sz val="10"/>
        <rFont val="Calibri"/>
        <family val="2"/>
        <scheme val="minor"/>
      </rPr>
      <t>/år</t>
    </r>
  </si>
  <si>
    <r>
      <rPr>
        <b/>
        <u/>
        <sz val="12"/>
        <color theme="1"/>
        <rFont val="Arial"/>
        <family val="2"/>
      </rPr>
      <t xml:space="preserve">Var finns resultatet presenterat? </t>
    </r>
    <r>
      <rPr>
        <sz val="12"/>
        <color theme="1"/>
        <rFont val="Arial"/>
        <family val="2"/>
      </rPr>
      <t xml:space="preserve">
Resultatet finns presenterat i flikarna "Resultatpresentation i tabell", 
"Resultatpresentation i graf" samt "Resultatpresentation av nyttor". </t>
    </r>
  </si>
  <si>
    <t>* Lägg in det lokala fjärrvärmenätets miljöpåverkan från filen "Fjärrvärmes lokala miljövärden 20XX". Observera att (g CO2 e/kWh) = (kg CO2 e/MWh). Summera ihop fältet Förbränning och Transport och produktion av bränslen.</t>
  </si>
  <si>
    <t>Värmevärde avloppsslam</t>
  </si>
  <si>
    <t>Värmevärde rens</t>
  </si>
  <si>
    <t>Aktivt kol, förbränning</t>
  </si>
  <si>
    <t>-</t>
  </si>
  <si>
    <t>Östlund (2003)</t>
  </si>
  <si>
    <t>Verkningsgrad, värmeåtervinning från slam och rens</t>
  </si>
  <si>
    <t>Rötkammare och biogas</t>
  </si>
  <si>
    <t>Antagande att rens kan jämföras med genomsnittligt hushållsavfall, värde från Östlund (2003)</t>
  </si>
  <si>
    <t>Gustavsson &amp; Tumlin (2013)</t>
  </si>
  <si>
    <t xml:space="preserve">Potentiella klimatnyttor uppstår vid uppgradering av biogas samt vid försäljning av överskottsel och -värme från biogaspanna, värmeväxling från avloppsledningar, egna elproduktionsanläggningar. Ange mängd uppgraderad gas som matas ut på nät eller på flak, samt ange de mängder el och värme som säljs till nätet under det aktuella året.  </t>
  </si>
  <si>
    <r>
      <t>Förbrukad mängd 
[m</t>
    </r>
    <r>
      <rPr>
        <b/>
        <vertAlign val="superscript"/>
        <sz val="11"/>
        <rFont val="Calibri"/>
        <family val="2"/>
        <scheme val="minor"/>
      </rPr>
      <t>3</t>
    </r>
    <r>
      <rPr>
        <b/>
        <sz val="11"/>
        <rFont val="Calibri"/>
        <family val="2"/>
        <scheme val="minor"/>
      </rPr>
      <t>/år]</t>
    </r>
  </si>
  <si>
    <t>Dricksvatten 
(för avloppsreningsverk)*</t>
  </si>
  <si>
    <t xml:space="preserve">* Ange emissionsfaktorn för producerat dricksvatten från den lokala leverantören. 
För dricksvattenverk blir den resulterande emissionsfaktorn noll p.g.a. internt flöde. </t>
  </si>
  <si>
    <r>
      <t>Emissionsfaktor
[kg CO</t>
    </r>
    <r>
      <rPr>
        <b/>
        <vertAlign val="subscript"/>
        <sz val="11"/>
        <rFont val="Calibri"/>
        <family val="2"/>
        <scheme val="minor"/>
      </rPr>
      <t>2</t>
    </r>
    <r>
      <rPr>
        <b/>
        <sz val="11"/>
        <rFont val="Calibri"/>
        <family val="2"/>
        <scheme val="minor"/>
      </rPr>
      <t xml:space="preserve"> e/m</t>
    </r>
    <r>
      <rPr>
        <b/>
        <vertAlign val="superscript"/>
        <sz val="11"/>
        <rFont val="Calibri"/>
        <family val="2"/>
        <scheme val="minor"/>
      </rPr>
      <t>3</t>
    </r>
    <r>
      <rPr>
        <b/>
        <sz val="11"/>
        <rFont val="Calibri"/>
        <family val="2"/>
        <scheme val="minor"/>
      </rPr>
      <t xml:space="preserve">] </t>
    </r>
  </si>
  <si>
    <t xml:space="preserve">Ange mängder av producerad rå biogas från rötkammaren som går till respektive avsättning. Har man ett eget uppmätt värde för slip från uppgraderingsanläggningen anger man det i den första rutan. </t>
  </si>
  <si>
    <t xml:space="preserve">** Fråga er fjärrkylaleverantör efter fjärrkylans miljövärde i enheten kg CO2 e per MWh.   </t>
  </si>
  <si>
    <t>9. Vattenförbrukning</t>
  </si>
  <si>
    <t>Lustgasemissioner från recipient</t>
  </si>
  <si>
    <t>Dricksvatten [kg CO2 e/år]</t>
  </si>
  <si>
    <t>Vattenförbrukning hos ARV</t>
  </si>
  <si>
    <t>Lustgasemissioner från slamlager</t>
  </si>
  <si>
    <t>Förbrukad mängd 
[ton/år]</t>
  </si>
  <si>
    <t>Metan från rötkammare och slambehandling</t>
  </si>
  <si>
    <t>Metanslip från rötkammare och slambehandling:</t>
  </si>
  <si>
    <t>Ange mängd producerad rågas under det aktuella året, samt metanhalten i gasen (volym-%). Har man ett eget uppmätt värde för slip från rötkammare och slambehandling anger man det nedanför.</t>
  </si>
  <si>
    <t>Producerad mängd biogas (rågas):</t>
  </si>
  <si>
    <t>Metanhalt i producerad biogas (rågas):</t>
  </si>
  <si>
    <r>
      <t>Rötning och slambehandling - metan (CH</t>
    </r>
    <r>
      <rPr>
        <b/>
        <vertAlign val="subscript"/>
        <sz val="11"/>
        <color theme="1"/>
        <rFont val="Calibri"/>
        <family val="2"/>
        <scheme val="minor"/>
      </rPr>
      <t>4</t>
    </r>
    <r>
      <rPr>
        <b/>
        <sz val="11"/>
        <color theme="1"/>
        <rFont val="Calibri"/>
        <family val="2"/>
        <scheme val="minor"/>
      </rPr>
      <t>)</t>
    </r>
  </si>
  <si>
    <t>Natriumhypoklorit (50%)</t>
  </si>
  <si>
    <t>Aktivt kol, från stenkol (Hoyer et al. 2022)</t>
  </si>
  <si>
    <t>Reaktivering av förbrukat aktivt kol (Hoyer et al. 2022)</t>
  </si>
  <si>
    <t>Salpetersyra (60%)</t>
  </si>
  <si>
    <t>Klorgas, europeiskt medelvärde (Euro Chlor, 2022)</t>
  </si>
  <si>
    <t>Natriumhypoklorit (50%), europeiskt medelvärde (Euro Chlor, 2022)</t>
  </si>
  <si>
    <t>Salpetersyra (60% HNO3), europeiskt medelvärde (Fertilizers Europe, 2011)</t>
  </si>
  <si>
    <t>Karaktäriseringsfaktorer från IPCC AR6</t>
  </si>
  <si>
    <t>Vattenfall (2022)</t>
  </si>
  <si>
    <t>Svensk solenergi (2022)</t>
  </si>
  <si>
    <t>FAME100</t>
  </si>
  <si>
    <t>HVO100</t>
  </si>
  <si>
    <t>Polyakrylamid (fast produkt)</t>
  </si>
  <si>
    <t xml:space="preserve">GCC fine (malen kalksten) (CCA, 2021) </t>
  </si>
  <si>
    <t>Biogas, varmfackling</t>
  </si>
  <si>
    <t>Uppgraderad biogas ersätter fossilt drivmedel.</t>
  </si>
  <si>
    <t>Bränsle</t>
  </si>
  <si>
    <t>Fossil motsvarighet till biodrivmedel på 94 g CO2e/MJ (EU-direktiv 2018/2001)</t>
  </si>
  <si>
    <t>Naturgas, produktion och förbränning (Gode et al. 2011)</t>
  </si>
  <si>
    <t>EO1, produktion och förbränning (Gode et al. 2011)</t>
  </si>
  <si>
    <t>Antagande att avfallet består av 50% stenkol och ca 40% vatten. EF för stenkol från Gode et al. (2011).</t>
  </si>
  <si>
    <t>MJ/ton</t>
  </si>
  <si>
    <r>
      <t xml:space="preserve">Fordonsgas, externt producerad </t>
    </r>
    <r>
      <rPr>
        <b/>
        <sz val="10"/>
        <rFont val="Calibri"/>
        <family val="2"/>
        <scheme val="minor"/>
      </rPr>
      <t>[kg]</t>
    </r>
  </si>
  <si>
    <r>
      <t xml:space="preserve">LNG/LBG </t>
    </r>
    <r>
      <rPr>
        <b/>
        <sz val="10"/>
        <rFont val="Calibri"/>
        <family val="2"/>
        <scheme val="minor"/>
      </rPr>
      <t>[kg]</t>
    </r>
  </si>
  <si>
    <t xml:space="preserve">Förbränning av hushållsavfall (Gode et al. 2011). Ca 10 MJ/kg energiinnehåll (Östlund, 2003). </t>
  </si>
  <si>
    <t>Metan (biogent ursprung)</t>
  </si>
  <si>
    <t>LNG/LBG</t>
  </si>
  <si>
    <t>Fordonsgas</t>
  </si>
  <si>
    <t>Sand eller finmald aggregat (NCC, 2022)</t>
  </si>
  <si>
    <t>4. Rötning, slambehandling och biogasanvändning - endast avloppsreningsverk</t>
  </si>
  <si>
    <t xml:space="preserve">Fyll i data i de två första fälten för att beräkna utsläpp från recipienten. </t>
  </si>
  <si>
    <t>Magnusson &amp; Yngvesson (2023)</t>
  </si>
  <si>
    <t>Brenntaplus</t>
  </si>
  <si>
    <t>Brenntag (2023)</t>
  </si>
  <si>
    <t>Väteperoxid (49%)</t>
  </si>
  <si>
    <r>
      <t>Väteperoxid (49% H</t>
    </r>
    <r>
      <rPr>
        <vertAlign val="subscript"/>
        <sz val="11"/>
        <rFont val="Calibri"/>
        <family val="2"/>
        <scheme val="minor"/>
      </rPr>
      <t>2</t>
    </r>
    <r>
      <rPr>
        <sz val="11"/>
        <rFont val="Calibri"/>
        <family val="2"/>
        <scheme val="minor"/>
      </rPr>
      <t>O</t>
    </r>
    <r>
      <rPr>
        <vertAlign val="subscript"/>
        <sz val="11"/>
        <rFont val="Calibri"/>
        <family val="2"/>
        <scheme val="minor"/>
      </rPr>
      <t>2</t>
    </r>
    <r>
      <rPr>
        <sz val="11"/>
        <rFont val="Calibri"/>
        <family val="2"/>
        <scheme val="minor"/>
      </rPr>
      <t>) (Nouryon, 2023)</t>
    </r>
  </si>
  <si>
    <t>Diesel MK3</t>
  </si>
  <si>
    <r>
      <t>Ange mängden kolkällor som förbrukas vid anläggningen per år. Alla gröna fält behöver inte vara ifyllda. 
Ange information om transportdistans från producent till anläggning samt drivmedel som används under transporten. 
Om du inte vet avståndet, lämna då kvar det förifyllda transportavståndet. Om du inte vet vilket bränsle som används, välj diesel i rullistan. 
I raden längst ned ("</t>
    </r>
    <r>
      <rPr>
        <i/>
        <sz val="11"/>
        <rFont val="Calibri"/>
        <family val="2"/>
        <scheme val="minor"/>
      </rPr>
      <t>Annan</t>
    </r>
    <r>
      <rPr>
        <sz val="11"/>
        <rFont val="Calibri"/>
        <family val="2"/>
        <scheme val="minor"/>
      </rPr>
      <t xml:space="preserve">") kan ni lägga in en egen emissionsfaktor från leverantör. </t>
    </r>
  </si>
  <si>
    <t>6. Förbrukning av kolkällor - endast avloppsreningsverk</t>
  </si>
  <si>
    <t>7. Förbrukning av fällningskemikalier - för avloppsreningsverk och vattenverk</t>
  </si>
  <si>
    <t xml:space="preserve">Ange mängden fällningskemikalier som förbrukas vid anläggningen per år. Alla gröna fält behöver inte vara ifyllda. 
Ange information om transportdistans från producent till anläggning samt drivmedel som används under transporten. 
Om du inte vet avståndet, lämna då kvar det förifyllda transportavståndet. Om du inte vet vilket bränsle som används, välj diesel i rullistan. </t>
  </si>
  <si>
    <t>8. Förbrukning av polymerer - för avloppsreningsverk och vattenverk</t>
  </si>
  <si>
    <t xml:space="preserve">Ange mängden polymer som förbrukas vid anläggningen per år. Kemikalier anges som 100% koncentration om inget annat anges. Alla gröna fält behöver inte vara ifyllda. 
Ange information om transportdistans från producent till anläggning samt drivmedel som används under transporten. 
Om du inte vet avståndet, lämna då kvar det förifyllda transportavståndet. Om du inte vet vilket bränsle som används, välj diesel i rullistan. </t>
  </si>
  <si>
    <t>9. Förbrukning av övriga kemikalier - för avloppsreningsverk och vattenverk</t>
  </si>
  <si>
    <t xml:space="preserve">Ange mängden övriga kemikalier som förbrukas vid anläggningen per år. Alla kemikalier anges som 100% koncentration om inget annat anges. Alla gröna fält behöver inte vara ifyllda. 
Ange information om transportdistans från producent till anläggning samt drivmedel som används under transporten, enkel sträcka. 
Om du inte vet avståndet, lämna då kvar det förifyllda transportavståndet. Om du inte vet vilket bränsle som används, lämna fältet blankt eller välj diesel i rullistan. </t>
  </si>
  <si>
    <t>Aluminiumsulfat (ALG)</t>
  </si>
  <si>
    <t>Järnklorid (PIX-111)</t>
  </si>
  <si>
    <t>Järnklorid (Plusjärn S 314)</t>
  </si>
  <si>
    <t>PAC (Ekoflock 54)</t>
  </si>
  <si>
    <t>PAC (Ekoflock 70)</t>
  </si>
  <si>
    <t>PAC (Ekoflock 75)</t>
  </si>
  <si>
    <t>PAC (Ekoflock 90, 91, 92)</t>
  </si>
  <si>
    <t>PAC (Ekoflock 96)</t>
  </si>
  <si>
    <t>Järnsulfat (PIX-113)</t>
  </si>
  <si>
    <t>Järnkloridsulfat (PIX-118)</t>
  </si>
  <si>
    <t>Aluminiumjärnklorid 
(Ekomix 1091)</t>
  </si>
  <si>
    <t>PAC (Pluspac S 1465)</t>
  </si>
  <si>
    <t>PAC (PAX-XL60)</t>
  </si>
  <si>
    <t>PAC (PAX-XL260)</t>
  </si>
  <si>
    <t>PAC (PAX-XL100)</t>
  </si>
  <si>
    <t>Järnsulfat 
(tvåvärd, t.ex. Quickfloc)</t>
  </si>
  <si>
    <t>Kemira (2024)</t>
  </si>
  <si>
    <t>Feralco (2024)</t>
  </si>
  <si>
    <t>INCOPA (2023)</t>
  </si>
  <si>
    <t>Saltsyra (32%)</t>
  </si>
  <si>
    <t>Produktionsmix av saltsyra (32%) (INCOPA, 2023)</t>
  </si>
  <si>
    <t>Produktionsmix av svavelsyra (96%) (INCOPA, 2023)</t>
  </si>
  <si>
    <t>[Vilket årtal baseras informationen i verktyget på?]</t>
  </si>
  <si>
    <t>Avloppsslam och slambiokol</t>
  </si>
  <si>
    <t xml:space="preserve">Potentiella klimatnyttor från avloppsslam och slambiokol uppstår vid tillverkning av jord samt vid spridning på åkermark. Ange mängden slam som går till jordtillverkning, samt ange de mängder totalkväve och totalfosfor som sprids på åkermark. Ange även slammets eller slambiokolets kolinnehåll för att beräkna potentiell klimatnytta från kolinlagring vid spridning på åkermark (ange annars VS-halt som % av TS som approximation om inte kolinnehållet är känt). </t>
  </si>
  <si>
    <t>Fosfor i slam eller slambiokol ersätter TSP.</t>
  </si>
  <si>
    <t>Mängd slam eller slambiokol som nyttiggörs [ton/år]</t>
  </si>
  <si>
    <t>Kolinnehåll
[% av TS]</t>
  </si>
  <si>
    <t>Kolinlagring i slambiokols-gödslade jordar</t>
  </si>
  <si>
    <r>
      <t>Avloppsslam och slambiokol
[ton CO</t>
    </r>
    <r>
      <rPr>
        <b/>
        <vertAlign val="subscript"/>
        <sz val="11"/>
        <color theme="1"/>
        <rFont val="Calibri"/>
        <family val="2"/>
        <scheme val="minor"/>
      </rPr>
      <t>2</t>
    </r>
    <r>
      <rPr>
        <b/>
        <sz val="11"/>
        <color theme="1"/>
        <rFont val="Calibri"/>
        <family val="2"/>
        <scheme val="minor"/>
      </rPr>
      <t xml:space="preserve"> e per år]</t>
    </r>
  </si>
  <si>
    <t>Natriumklorid</t>
  </si>
  <si>
    <t>Natriumhypoklorit (13%)</t>
  </si>
  <si>
    <t>Natriumhydroxid (50%)</t>
  </si>
  <si>
    <t>Natriumhydroxid (25%)</t>
  </si>
  <si>
    <t>Svavelsyra (36%)</t>
  </si>
  <si>
    <r>
      <t>Förbrukat dricksvatten
[m</t>
    </r>
    <r>
      <rPr>
        <b/>
        <vertAlign val="superscript"/>
        <sz val="11"/>
        <rFont val="Calibri"/>
        <family val="2"/>
        <scheme val="minor"/>
      </rPr>
      <t>3</t>
    </r>
    <r>
      <rPr>
        <b/>
        <sz val="11"/>
        <rFont val="Calibri"/>
        <family val="2"/>
        <scheme val="minor"/>
      </rPr>
      <t>/år]</t>
    </r>
  </si>
  <si>
    <r>
      <t>Utgående dricksvatten
[m</t>
    </r>
    <r>
      <rPr>
        <b/>
        <vertAlign val="superscript"/>
        <sz val="11"/>
        <rFont val="Calibri"/>
        <family val="2"/>
        <scheme val="minor"/>
      </rPr>
      <t>3</t>
    </r>
    <r>
      <rPr>
        <b/>
        <sz val="11"/>
        <rFont val="Calibri"/>
        <family val="2"/>
        <scheme val="minor"/>
      </rPr>
      <t>/år]</t>
    </r>
  </si>
  <si>
    <r>
      <t>Intag av råvatten 
[m</t>
    </r>
    <r>
      <rPr>
        <b/>
        <vertAlign val="superscript"/>
        <sz val="11"/>
        <color theme="1"/>
        <rFont val="Calibri"/>
        <family val="2"/>
        <scheme val="minor"/>
      </rPr>
      <t>3</t>
    </r>
    <r>
      <rPr>
        <b/>
        <sz val="11"/>
        <color theme="1"/>
        <rFont val="Calibri"/>
        <family val="2"/>
        <scheme val="minor"/>
      </rPr>
      <t>/år]</t>
    </r>
  </si>
  <si>
    <t>Mängd kväve som reducerats under året
[kg N-tot/år]</t>
  </si>
  <si>
    <t>Belastningen till reningsverket 
[pe]</t>
  </si>
  <si>
    <r>
      <t>Mängd vatten som 
renats under året
[m</t>
    </r>
    <r>
      <rPr>
        <b/>
        <vertAlign val="superscript"/>
        <sz val="11"/>
        <rFont val="Calibri"/>
        <family val="2"/>
        <scheme val="minor"/>
      </rPr>
      <t>3</t>
    </r>
    <r>
      <rPr>
        <b/>
        <sz val="11"/>
        <rFont val="Calibri"/>
        <family val="2"/>
        <scheme val="minor"/>
      </rPr>
      <t>/år]</t>
    </r>
  </si>
  <si>
    <t>Naturgas 
(även gasol och stadsgas)</t>
  </si>
  <si>
    <t>Lägg in information om biogasproduktion och metanslip i sektionen nedanför. Om uppmätta värden finns att tillgå för anläggningen, fylls de värdena i i de celler märkta med "Uppmätt värde:". Finns inga uppmätta värden att tillgå beräknas uppskattade värden baserat på litteratur. Om ett uppmätt och ett uppskattat värde finns ifyllda samtidigt används det uppmätta värdet före det uppskattade i klimatberäkningen. Var uppmärksam på enheter som efterfrågas!</t>
  </si>
  <si>
    <r>
      <t>Mellanlagring av slam - metan (CH</t>
    </r>
    <r>
      <rPr>
        <b/>
        <vertAlign val="subscript"/>
        <sz val="11"/>
        <rFont val="Calibri"/>
        <family val="2"/>
        <scheme val="minor"/>
      </rPr>
      <t>4</t>
    </r>
    <r>
      <rPr>
        <b/>
        <sz val="11"/>
        <rFont val="Calibri"/>
        <family val="2"/>
        <scheme val="minor"/>
      </rPr>
      <t>) och lustgas (N</t>
    </r>
    <r>
      <rPr>
        <b/>
        <vertAlign val="subscript"/>
        <sz val="11"/>
        <rFont val="Calibri"/>
        <family val="2"/>
        <scheme val="minor"/>
      </rPr>
      <t>2</t>
    </r>
    <r>
      <rPr>
        <b/>
        <sz val="11"/>
        <rFont val="Calibri"/>
        <family val="2"/>
        <scheme val="minor"/>
      </rPr>
      <t>O)</t>
    </r>
  </si>
  <si>
    <t xml:space="preserve">Lägg in information om restprodukter i de gröna fälten som uppkommer vid den aktuella anläggningen. Restprodukternas vikt ska anges i våtvikt. 
Alla gröna fält behöver inte vara ifyllda. Informationen som läggs in ska vara på årsbasis. 
Transporterna som rapporteras i denna kategori köps in av organisationen, dvs. utförs av ett logistikbolag. Företagets egna bilars klimatpåverkan rapporteras högre upp i denna flik.
Ange information om transportdistans från anläggning till avsättningsplats samt drivmedel som används under transporten. Om du inte vet vilket bränsle som används, välj diesel i rullistan. </t>
  </si>
  <si>
    <t xml:space="preserve">Användaren kan fylla i uppmätta metanemissioner från vattenlinjen (ej slam). 
Mätningen bör fånga upp metan från biologin samt från inloppet eller luftat sandfång. 
Finns inget uppmätt värde används en uppskattad emissionsfaktor enligt nedan. </t>
  </si>
  <si>
    <t>Användaren fyller i mängden slam (våtvikt) som lagras minst två månader innan slammet avsätts. 
Sker ingen mellanlagring av slammet lämnas de gröna fälten blanka.</t>
  </si>
  <si>
    <r>
      <t>kg N</t>
    </r>
    <r>
      <rPr>
        <vertAlign val="subscript"/>
        <sz val="10"/>
        <rFont val="Calibri"/>
        <family val="2"/>
        <scheme val="minor"/>
      </rPr>
      <t>inkommande</t>
    </r>
    <r>
      <rPr>
        <sz val="10"/>
        <rFont val="Calibri"/>
        <family val="2"/>
        <scheme val="minor"/>
      </rPr>
      <t>/år</t>
    </r>
  </si>
  <si>
    <t>Ange kg N i inkommande vatten (per år):</t>
  </si>
  <si>
    <t xml:space="preserve">I en tidigare version av klimatberäkningsverktyget beräknades lustgasemissioner baserat på mängden kväve som reducerats. 
I fältet nedan presenteras lustgasutsläppen enligt tidigare metod för er referens. </t>
  </si>
  <si>
    <t>Lustgas från biologisk rening 
(baserat på reducerat kväve)</t>
  </si>
  <si>
    <t>Lustgas från biologisk rening 
(baserat på inkommande kväve)</t>
  </si>
  <si>
    <t>kg N2O/kg N reducerat</t>
  </si>
  <si>
    <t>kg N2O/kg N inkommande</t>
  </si>
  <si>
    <t>Vattenfall (2025)</t>
  </si>
  <si>
    <t>Schablon</t>
  </si>
  <si>
    <t>Methanol Institute (2022)</t>
  </si>
  <si>
    <t>CarbonCloud (2025)</t>
  </si>
  <si>
    <t>Metanemissioner från mellanlager:</t>
  </si>
  <si>
    <t>Lustgasemissioner från mellanlager:</t>
  </si>
  <si>
    <t>Användaren kan fylla i uppmätta lustgasemissioner från biologin.  
Finns inget uppmätt värde används en uppskattad emissionsfaktor. Kom ihåg att den interna kvävebelastningen på anläggningen ska inkluderas i mängden inkommande kväve.</t>
  </si>
  <si>
    <t>Metan från mellanlagring av slam</t>
  </si>
  <si>
    <t>de Haas &amp; Andrews (2022)</t>
  </si>
  <si>
    <t>Kolinlagring i slambiokolsgödslade jordar</t>
  </si>
  <si>
    <t>Ammoniumnitrat, europeiskt medelvärde (Fertilizers Europe, 2011)</t>
  </si>
  <si>
    <t>Trippelsuperfosfat, europeiskt medelvärde (Fertilizers Europe, 2011)</t>
  </si>
  <si>
    <t>Faragó et al. (2022)</t>
  </si>
  <si>
    <t>Energimyndigheten (2025)</t>
  </si>
  <si>
    <t>Produktionsmix av svavelsyra (36%) (INCOPA, 2023)</t>
  </si>
  <si>
    <t>Natriumhypoklorit (13%), europeiskt medelvärde (Euro Chlor, 2022)</t>
  </si>
  <si>
    <t>Natriumhydroxid (50%), europeiskt medelvärde (Euro Chlor, 2022)</t>
  </si>
  <si>
    <t>Natriumhydroxid (25%), europeiskt medelvärde (Euro Chlor, 2022)</t>
  </si>
  <si>
    <t>Energimarknadsinspektionen (2025)</t>
  </si>
  <si>
    <t>Aktivt kol, kokosbaserat (Vilén et al. 2022)</t>
  </si>
  <si>
    <t>Quicklime, European Lime Association (2024)</t>
  </si>
  <si>
    <t>Hydrated lime, European Lime Association (2024)</t>
  </si>
  <si>
    <t>GC Rieber (2022)</t>
  </si>
  <si>
    <t xml:space="preserve">Såld el till nätet ersätter nordisk medelel. </t>
  </si>
  <si>
    <t>Energiföretagen (2024)</t>
  </si>
  <si>
    <r>
      <t>Lägg in bränsleförbrukning för företagsägda fordon samt reservkraft i de gröna fält som är relevanta för den aktuella anläggningen. Alla gröna fält behöver inte vara ifyllda. Informationen som läggs in ska vara på årsbasis. 
Om förbrukningen inte går att dela upp på ett enkelt sätt mellan organisationens olika anläggningar, dividera då den totala bränsleförbrukningen med antalet anläggningar. 
Om EcoPar använts under det aktuella året - ange förbrukning på samma rad som Diesel. 
I raden längst ned ("</t>
    </r>
    <r>
      <rPr>
        <i/>
        <sz val="11"/>
        <rFont val="Calibri"/>
        <family val="2"/>
        <scheme val="minor"/>
      </rPr>
      <t>Annan</t>
    </r>
    <r>
      <rPr>
        <sz val="11"/>
        <rFont val="Calibri"/>
        <family val="2"/>
        <scheme val="minor"/>
      </rPr>
      <t xml:space="preserve">") kan ni lägga in egen emissionsfaktor från leverantör. </t>
    </r>
  </si>
  <si>
    <r>
      <t>Kg CO</t>
    </r>
    <r>
      <rPr>
        <b/>
        <vertAlign val="subscript"/>
        <sz val="11"/>
        <color theme="1"/>
        <rFont val="Calibri"/>
        <family val="2"/>
        <scheme val="minor"/>
      </rPr>
      <t>2</t>
    </r>
    <r>
      <rPr>
        <b/>
        <sz val="11"/>
        <color theme="1"/>
        <rFont val="Calibri"/>
        <family val="2"/>
        <scheme val="minor"/>
      </rPr>
      <t xml:space="preserve"> e per m</t>
    </r>
    <r>
      <rPr>
        <b/>
        <vertAlign val="superscript"/>
        <sz val="11"/>
        <color theme="1"/>
        <rFont val="Calibri"/>
        <family val="2"/>
        <scheme val="minor"/>
      </rPr>
      <t>3</t>
    </r>
    <r>
      <rPr>
        <b/>
        <sz val="11"/>
        <color theme="1"/>
        <rFont val="Calibri"/>
        <family val="2"/>
        <scheme val="minor"/>
      </rPr>
      <t xml:space="preserve"> förbrukat vatten</t>
    </r>
  </si>
  <si>
    <r>
      <t>Kg CO</t>
    </r>
    <r>
      <rPr>
        <b/>
        <vertAlign val="subscript"/>
        <sz val="11"/>
        <color theme="1"/>
        <rFont val="Calibri"/>
        <family val="2"/>
        <scheme val="minor"/>
      </rPr>
      <t>2</t>
    </r>
    <r>
      <rPr>
        <b/>
        <sz val="11"/>
        <color theme="1"/>
        <rFont val="Calibri"/>
        <family val="2"/>
        <scheme val="minor"/>
      </rPr>
      <t xml:space="preserve"> e per m</t>
    </r>
    <r>
      <rPr>
        <b/>
        <vertAlign val="superscript"/>
        <sz val="11"/>
        <color theme="1"/>
        <rFont val="Calibri"/>
        <family val="2"/>
        <scheme val="minor"/>
      </rPr>
      <t>3</t>
    </r>
    <r>
      <rPr>
        <b/>
        <sz val="11"/>
        <color theme="1"/>
        <rFont val="Calibri"/>
        <family val="2"/>
        <scheme val="minor"/>
      </rPr>
      <t xml:space="preserve"> utgående vatten</t>
    </r>
  </si>
  <si>
    <r>
      <t>Kg CO</t>
    </r>
    <r>
      <rPr>
        <b/>
        <vertAlign val="subscript"/>
        <sz val="11"/>
        <color theme="1"/>
        <rFont val="Calibri"/>
        <family val="2"/>
        <scheme val="minor"/>
      </rPr>
      <t>2</t>
    </r>
    <r>
      <rPr>
        <b/>
        <sz val="11"/>
        <color theme="1"/>
        <rFont val="Calibri"/>
        <family val="2"/>
        <scheme val="minor"/>
      </rPr>
      <t xml:space="preserve"> e per m</t>
    </r>
    <r>
      <rPr>
        <b/>
        <vertAlign val="superscript"/>
        <sz val="11"/>
        <color theme="1"/>
        <rFont val="Calibri"/>
        <family val="2"/>
        <scheme val="minor"/>
      </rPr>
      <t>3</t>
    </r>
    <r>
      <rPr>
        <b/>
        <sz val="11"/>
        <color theme="1"/>
        <rFont val="Calibri"/>
        <family val="2"/>
        <scheme val="minor"/>
      </rPr>
      <t xml:space="preserve"> intaget råvatten</t>
    </r>
  </si>
  <si>
    <t>Boldrin et al. (2009)</t>
  </si>
  <si>
    <t>Versionshistorik</t>
  </si>
  <si>
    <t>Version 3 (2024)</t>
  </si>
  <si>
    <t>Version 2 (2023)</t>
  </si>
  <si>
    <t>Version 4 (2025)</t>
  </si>
  <si>
    <t xml:space="preserve">Uppdaterade emissionsfaktorer: </t>
  </si>
  <si>
    <t>Metanslip från rötning, slambehandling och uppgradering av biogas</t>
  </si>
  <si>
    <t>Bränslen</t>
  </si>
  <si>
    <t>Residualmixen</t>
  </si>
  <si>
    <t xml:space="preserve">Graferna i verktyget är upplåsta, nu möjligt att ändra t.ex. textstorlek </t>
  </si>
  <si>
    <t>Uppdaterade emissionsfaktorer:</t>
  </si>
  <si>
    <t>Karaktäriseringsfaktorer för metan och lustgas baserade på IPCC AR6</t>
  </si>
  <si>
    <t>Nyttan från biogasproduktion likställs med fossilt alternativ i hållbarhetskriterier enligt RED2</t>
  </si>
  <si>
    <t>Korrigerat mindre räknefel för nyttor från förbränning av slam och rens</t>
  </si>
  <si>
    <t>Kärnkraftsel finns som alternativ</t>
  </si>
  <si>
    <t>Tydliggjort att det är förbrukade mängder som ska läggas in i verktyget, inte inköpta mängder</t>
  </si>
  <si>
    <t>Värme och el</t>
  </si>
  <si>
    <t>Reaktiverat kol</t>
  </si>
  <si>
    <t>Lustgas från biologin baseras på inkommande kväve (tidigare reducerat kväve)</t>
  </si>
  <si>
    <t>Nyttan från kolinlagring i slambiokol är inkluderad</t>
  </si>
  <si>
    <t>Fossil metanol</t>
  </si>
  <si>
    <t>Kemikalier, lagt till nya koncentrationer</t>
  </si>
  <si>
    <t>Nyttan från kolinlagring i slam är ändrad till 5% (tidigare 35%)</t>
  </si>
  <si>
    <t>Vindkraftsel</t>
  </si>
  <si>
    <t>Pyrolys är inkluderat som ett slamhanteringsalternativ i verktyget</t>
  </si>
  <si>
    <t>Lagt till nytt samt förtydligat nyckeltalen för dricksvattenverk</t>
  </si>
  <si>
    <t>Torv, undviken produktion vid kompostering av slam</t>
  </si>
  <si>
    <t>Transport med fossilfritt bränsle (ny EF för ton*km)</t>
  </si>
  <si>
    <t>Tagit bort en högre, alternativ emissionsfaktor för lustgasutsläpp från recipient pga otydligt när den bör användas</t>
  </si>
  <si>
    <t>Metanemissioner från slamhantering inne på anläggningen inkluderas (utöver rötkammare)</t>
  </si>
  <si>
    <t>Förbrukade membranelement</t>
  </si>
  <si>
    <t>*** Om faktabladet saknar densitetsangivelse, använd omräkningsfaktorn 0,7 för att omvandla volym till massa (massa = 0,7 × volym).</t>
  </si>
  <si>
    <t>Förbränning***</t>
  </si>
  <si>
    <t>Förbrukad jonbytarmassa</t>
  </si>
  <si>
    <t>Jonbytarmassa</t>
  </si>
  <si>
    <t>Aktivt kol, FiltraSorb 400</t>
  </si>
  <si>
    <t>Jonbytarmassa*</t>
  </si>
  <si>
    <t>Syrgas</t>
  </si>
  <si>
    <t>Natriumbisulfit</t>
  </si>
  <si>
    <t>Kalciumnitrat</t>
  </si>
  <si>
    <t>* Om faktabladet saknar densitetsangivelse, använd omräkningsfaktorn 0,7 för att omvandla volym till massa (massa = 0,7 × volym).</t>
  </si>
  <si>
    <t>10. Membran (UF, NF och RO)</t>
  </si>
  <si>
    <t>Membrantyp</t>
  </si>
  <si>
    <t>Antal membranelement [st]</t>
  </si>
  <si>
    <t xml:space="preserve">Emissionsfaktor 
[kg CO2 e/tonkm] </t>
  </si>
  <si>
    <t>UF från nx filtration</t>
  </si>
  <si>
    <t>XF75 från Pentair</t>
  </si>
  <si>
    <t>HFW1000 från Pentair</t>
  </si>
  <si>
    <t xml:space="preserve">Emissionsfaktor membran 
[kg CO2 e/st] </t>
  </si>
  <si>
    <t>NF från nx filtration</t>
  </si>
  <si>
    <t>N64 från Pentair</t>
  </si>
  <si>
    <t>RO från nx filtration</t>
  </si>
  <si>
    <t>Membran, ultrafilter</t>
  </si>
  <si>
    <t>Membran, nanofilter</t>
  </si>
  <si>
    <t>Membran, omvänd osmos</t>
  </si>
  <si>
    <t>10a. Membran, ultrafilter</t>
  </si>
  <si>
    <t>Membran [kg CO2 e/år]</t>
  </si>
  <si>
    <t>10b. Membran, nanofilter</t>
  </si>
  <si>
    <t>10c. Membran, omvänd osmos</t>
  </si>
  <si>
    <t>Produktion av membran</t>
  </si>
  <si>
    <t>Kururay (tillhandahållit Norconsult 2024-01-23)</t>
  </si>
  <si>
    <t>Jacobi (tillhandahållit Norconsult 2024-01-19)</t>
  </si>
  <si>
    <t>OXAQUIM (tillhandahållit Norconsult 2024-03-14)</t>
  </si>
  <si>
    <t>Kurita (tillhandahållit Norconsult 2024-02-02)</t>
  </si>
  <si>
    <t>Membranelement</t>
  </si>
  <si>
    <t>Membranelement (UF, NF &amp; RO)</t>
  </si>
  <si>
    <t>Membran från nx Filtration</t>
  </si>
  <si>
    <t>nx Filtration (tillhandahållit Norconsult 2024-01-26)</t>
  </si>
  <si>
    <t>Pentair (tillhandahållit Norconsult 2024-02-06)</t>
  </si>
  <si>
    <t>Oxalsyra</t>
  </si>
  <si>
    <t>Energianvändning per m3 renat vatten</t>
  </si>
  <si>
    <t>Version 5 (2026)</t>
  </si>
  <si>
    <t>Beläggningshämmare, 
Vitec 1141</t>
  </si>
  <si>
    <t>Lägg in el- och värmeförbrukning i de gröna fälten som är relevanta för anläggningen. Alla gröna fält behöver inte vara ifyllda. Informationen som läggs in ska vara på årsbasis. 
För elförbrukningen används två perspektiv; platsbaserad och marknadsbaserad beräkning av elens klimatpåverkan. 
Elförbrukningen för ledningsnät ska innefatta alla pumpar uppströms och nedströms från anläggningen, till recipient eller dricksvattenkund. Inloppspumpar ingår i anläggningsdriften.</t>
  </si>
  <si>
    <t xml:space="preserve">Om bolaget har kontrakt på inköp av förnybar eller fossilfri el kan detta anges i tabellen nedan. 
Om ni inte vet ursprungsmärkning på elen, välj då nordisk residualmix. 
I raden längst ned ("Annan") kan ni lägga in en egen emissionsfaktor från leverantör. </t>
  </si>
  <si>
    <t>Elförbrukning 
(platsbaserad elmix)</t>
  </si>
  <si>
    <t>Elförbrukning 
(marknadsbaserad elmix)</t>
  </si>
  <si>
    <t xml:space="preserve">Vill man beräkna anläggningens klimatpåverkan med en genomsnittlig platsbaserad elmix kan användaren ange elförbrukningen på raden nedanför. Detta alternativ tar ej hänsyn till finansiella eller kontraktuella element i beräkningarna. </t>
  </si>
  <si>
    <t>Aktivt kol, FiltraSorb 400, reaktiverat</t>
  </si>
  <si>
    <t>Aktivt kol, 100% kokosnötsbaserat</t>
  </si>
  <si>
    <t>Aktivt kol, Jacobi (kokosnötsbaserat)</t>
  </si>
  <si>
    <t>Aktivt kol, Jacobi (kokosnötsbaserat), reaktiverat</t>
  </si>
  <si>
    <t>Jonbytarmassa*, 
förnybar NaOH</t>
  </si>
  <si>
    <t>Jonbytarmassa* förnybar NaOH 
och förnybar akrylnitril</t>
  </si>
  <si>
    <t xml:space="preserve">Schablon. Uppskattningsvis väldigt låg. </t>
  </si>
  <si>
    <t xml:space="preserve">Modifierad data, förbränning av hushållsavfall exklusive plast. Resterande fraktioner till stor del organiskt och övrigt. </t>
  </si>
  <si>
    <t xml:space="preserve">Schablon. I brist på andra relevanta data eller litteratur. </t>
  </si>
  <si>
    <t>Uppskattning utifrån kolinnehåll (Norconsult)</t>
  </si>
  <si>
    <t>Lewatit (2024) (via Norconsult)</t>
  </si>
  <si>
    <t>Chi Johansson &amp; Sandgren (2025)</t>
  </si>
  <si>
    <t>Genomsnittlig vikt membranelement</t>
  </si>
  <si>
    <t>Köhler (2026), pers. komm.</t>
  </si>
  <si>
    <t>kWh/m3</t>
  </si>
  <si>
    <t>t/st</t>
  </si>
  <si>
    <t>1c. Värmeförbrukning</t>
  </si>
  <si>
    <t>1a. Elförbrukning - platsbaserad</t>
  </si>
  <si>
    <t>1b. Elförbrukning - marknadsbaserad</t>
  </si>
  <si>
    <t>Nordisk elmix har lagts till som komplement till marknadsperspektivet</t>
  </si>
  <si>
    <t xml:space="preserve">Norconsult har bidragit med: </t>
  </si>
  <si>
    <t>Fler kemikalier och kolfiltermedia har lagts till</t>
  </si>
  <si>
    <t>Ett index för att beräkna energianvändningen per kubikmeter vatten har lagts till</t>
  </si>
  <si>
    <t>Membran har lagts till (inkl. avfallshantering)</t>
  </si>
  <si>
    <t>Jonbytarmassor har lagts till (inkl. avfallshantering)</t>
  </si>
  <si>
    <t xml:space="preserve">Ange antalet membran av olika typer som köptes in under det aktuella året. Alla gröna fält behöver inte vara ifyllda. Ange information om transportsträcka (enkel sträcka) och drivmedel som används under transporten. 
Om du inte vet avståndet, lämna då kvar det förifyllda transportavståndet. Om du inte vet vilket bränsle som används, lämna fältet blankt eller välj diesel i rullistan.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</si>
</sst>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0"/>
  </numFmts>
  <fonts count="61" x14ac:knownFonts="1">
    <font>
      <sz val="11"/>
      <color theme="1"/>
      <name val="Calibri"/>
      <family val="2"/>
      <scheme val="minor"/>
    </font>
    <font>
      <sz val="11"/>
      <color theme="1"/>
      <name val="Calibri"/>
      <family val="2"/>
      <scheme val="minor"/>
    </font>
    <font>
      <sz val="11"/>
      <color theme="0"/>
      <name val="Calibri"/>
      <family val="2"/>
      <scheme val="minor"/>
    </font>
    <font>
      <b/>
      <sz val="10"/>
      <color theme="1"/>
      <name val="Arial"/>
      <family val="2"/>
    </font>
    <font>
      <sz val="10"/>
      <name val="Arial"/>
      <family val="2"/>
    </font>
    <font>
      <sz val="10"/>
      <color theme="1"/>
      <name val="Arial"/>
      <family val="2"/>
    </font>
    <font>
      <i/>
      <sz val="10"/>
      <color theme="1"/>
      <name val="Arial"/>
      <family val="2"/>
    </font>
    <font>
      <i/>
      <sz val="10"/>
      <color theme="0" tint="-0.499984740745262"/>
      <name val="Arial"/>
      <family val="2"/>
    </font>
    <font>
      <sz val="12"/>
      <color theme="1"/>
      <name val="Arial"/>
      <family val="2"/>
    </font>
    <font>
      <b/>
      <u/>
      <sz val="12"/>
      <color theme="1"/>
      <name val="Arial"/>
      <family val="2"/>
    </font>
    <font>
      <sz val="14"/>
      <color theme="1"/>
      <name val="Arial"/>
      <family val="2"/>
    </font>
    <font>
      <sz val="10"/>
      <color theme="1"/>
      <name val="Calibri"/>
      <family val="2"/>
      <scheme val="minor"/>
    </font>
    <font>
      <sz val="10"/>
      <name val="Calibri"/>
      <family val="2"/>
      <scheme val="minor"/>
    </font>
    <font>
      <b/>
      <sz val="10"/>
      <color theme="0"/>
      <name val="Calibri"/>
      <family val="2"/>
      <scheme val="minor"/>
    </font>
    <font>
      <b/>
      <sz val="10"/>
      <name val="Calibri"/>
      <family val="2"/>
      <scheme val="minor"/>
    </font>
    <font>
      <i/>
      <sz val="10"/>
      <name val="Calibri"/>
      <family val="2"/>
      <scheme val="minor"/>
    </font>
    <font>
      <sz val="10"/>
      <color theme="0"/>
      <name val="Calibri"/>
      <family val="2"/>
      <scheme val="minor"/>
    </font>
    <font>
      <sz val="10"/>
      <color rgb="FFFF0000"/>
      <name val="Calibri"/>
      <family val="2"/>
      <scheme val="minor"/>
    </font>
    <font>
      <b/>
      <sz val="10"/>
      <color theme="1"/>
      <name val="Calibri"/>
      <family val="2"/>
      <scheme val="minor"/>
    </font>
    <font>
      <i/>
      <sz val="10"/>
      <color theme="1"/>
      <name val="Calibri"/>
      <family val="2"/>
      <scheme val="minor"/>
    </font>
    <font>
      <sz val="10"/>
      <color rgb="FFC00000"/>
      <name val="Calibri"/>
      <family val="2"/>
      <scheme val="minor"/>
    </font>
    <font>
      <b/>
      <sz val="11"/>
      <color theme="3" tint="-0.499984740745262"/>
      <name val="Calibri"/>
      <family val="2"/>
      <scheme val="minor"/>
    </font>
    <font>
      <b/>
      <sz val="11"/>
      <name val="Calibri"/>
      <family val="2"/>
      <scheme val="minor"/>
    </font>
    <font>
      <sz val="11"/>
      <name val="Calibri"/>
      <family val="2"/>
      <scheme val="minor"/>
    </font>
    <font>
      <i/>
      <sz val="11"/>
      <color theme="1"/>
      <name val="Calibri"/>
      <family val="2"/>
      <scheme val="minor"/>
    </font>
    <font>
      <b/>
      <vertAlign val="subscript"/>
      <sz val="11"/>
      <name val="Calibri"/>
      <family val="2"/>
      <scheme val="minor"/>
    </font>
    <font>
      <sz val="18"/>
      <color theme="1"/>
      <name val="Calibri"/>
      <family val="2"/>
      <scheme val="minor"/>
    </font>
    <font>
      <b/>
      <i/>
      <u/>
      <sz val="11"/>
      <color theme="3" tint="-0.499984740745262"/>
      <name val="Calibri"/>
      <family val="2"/>
      <scheme val="minor"/>
    </font>
    <font>
      <sz val="11"/>
      <color theme="3" tint="-0.499984740745262"/>
      <name val="Calibri"/>
      <family val="2"/>
      <scheme val="minor"/>
    </font>
    <font>
      <sz val="11"/>
      <color rgb="FFFF0000"/>
      <name val="Calibri"/>
      <family val="2"/>
      <scheme val="minor"/>
    </font>
    <font>
      <b/>
      <sz val="11"/>
      <color theme="1"/>
      <name val="Calibri"/>
      <family val="2"/>
      <scheme val="minor"/>
    </font>
    <font>
      <b/>
      <vertAlign val="superscript"/>
      <sz val="11"/>
      <name val="Calibri"/>
      <family val="2"/>
      <scheme val="minor"/>
    </font>
    <font>
      <b/>
      <vertAlign val="subscript"/>
      <sz val="11"/>
      <color theme="1"/>
      <name val="Calibri"/>
      <family val="2"/>
      <scheme val="minor"/>
    </font>
    <font>
      <b/>
      <sz val="18"/>
      <color theme="1"/>
      <name val="Calibri"/>
      <family val="2"/>
      <scheme val="minor"/>
    </font>
    <font>
      <b/>
      <vertAlign val="superscript"/>
      <sz val="11"/>
      <color theme="1"/>
      <name val="Calibri"/>
      <family val="2"/>
      <scheme val="minor"/>
    </font>
    <font>
      <sz val="8"/>
      <name val="Calibri"/>
      <family val="2"/>
      <scheme val="minor"/>
    </font>
    <font>
      <i/>
      <sz val="11"/>
      <name val="Calibri"/>
      <family val="2"/>
      <scheme val="minor"/>
    </font>
    <font>
      <b/>
      <u/>
      <sz val="11"/>
      <name val="Calibri"/>
      <family val="2"/>
      <scheme val="minor"/>
    </font>
    <font>
      <vertAlign val="subscript"/>
      <sz val="10"/>
      <color theme="1"/>
      <name val="Calibri"/>
      <family val="2"/>
      <scheme val="minor"/>
    </font>
    <font>
      <u/>
      <sz val="11"/>
      <color theme="10"/>
      <name val="Calibri"/>
      <family val="2"/>
      <scheme val="minor"/>
    </font>
    <font>
      <vertAlign val="subscript"/>
      <sz val="11"/>
      <name val="Calibri"/>
      <family val="2"/>
      <scheme val="minor"/>
    </font>
    <font>
      <vertAlign val="superscript"/>
      <sz val="11"/>
      <color theme="1"/>
      <name val="Calibri"/>
      <family val="2"/>
      <scheme val="minor"/>
    </font>
    <font>
      <b/>
      <sz val="12"/>
      <name val="Arial"/>
      <family val="2"/>
    </font>
    <font>
      <b/>
      <sz val="12"/>
      <color theme="1"/>
      <name val="Arial"/>
      <family val="2"/>
    </font>
    <font>
      <sz val="20"/>
      <color theme="1"/>
      <name val="Arial"/>
      <family val="2"/>
    </font>
    <font>
      <i/>
      <sz val="11"/>
      <color rgb="FFFF0000"/>
      <name val="Calibri"/>
      <family val="2"/>
      <scheme val="minor"/>
    </font>
    <font>
      <vertAlign val="superscript"/>
      <sz val="10"/>
      <color theme="1"/>
      <name val="Calibri"/>
      <family val="2"/>
      <scheme val="minor"/>
    </font>
    <font>
      <vertAlign val="subscript"/>
      <sz val="11"/>
      <color theme="1"/>
      <name val="Calibri"/>
      <family val="2"/>
      <scheme val="minor"/>
    </font>
    <font>
      <vertAlign val="subscript"/>
      <sz val="10"/>
      <name val="Calibri"/>
      <family val="2"/>
      <scheme val="minor"/>
    </font>
    <font>
      <b/>
      <sz val="18"/>
      <color theme="1"/>
      <name val="Arial"/>
      <family val="2"/>
    </font>
    <font>
      <sz val="18"/>
      <color theme="1"/>
      <name val="Arial"/>
      <family val="2"/>
    </font>
    <font>
      <i/>
      <sz val="10"/>
      <color rgb="FFFF0000"/>
      <name val="Calibri"/>
      <family val="2"/>
      <scheme val="minor"/>
    </font>
    <font>
      <b/>
      <u/>
      <sz val="11"/>
      <color theme="1"/>
      <name val="Calibri"/>
      <family val="2"/>
      <scheme val="minor"/>
    </font>
    <font>
      <b/>
      <sz val="14"/>
      <color theme="1"/>
      <name val="Calibri"/>
      <family val="2"/>
      <scheme val="minor"/>
    </font>
    <font>
      <b/>
      <sz val="11"/>
      <name val="Calibri"/>
      <family val="2"/>
    </font>
    <font>
      <sz val="11"/>
      <name val="Calibri"/>
      <family val="2"/>
    </font>
    <font>
      <b/>
      <sz val="11"/>
      <color rgb="FF000000"/>
      <name val="Calibri"/>
      <family val="2"/>
    </font>
    <font>
      <sz val="10"/>
      <name val="Calibri"/>
      <family val="2"/>
    </font>
    <font>
      <i/>
      <sz val="11"/>
      <name val="Calibri"/>
      <family val="2"/>
    </font>
    <font>
      <sz val="16"/>
      <color rgb="FFFF0000"/>
      <name val="Calibri"/>
      <family val="2"/>
      <scheme val="minor"/>
    </font>
    <font>
      <sz val="9"/>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
      <patternFill patternType="solid">
        <fgColor rgb="FF8F9E78"/>
        <bgColor indexed="64"/>
      </patternFill>
    </fill>
    <fill>
      <patternFill patternType="solid">
        <fgColor theme="0"/>
        <bgColor indexed="64"/>
      </patternFill>
    </fill>
    <fill>
      <patternFill patternType="solid">
        <fgColor theme="0"/>
        <bgColor rgb="FF000000"/>
      </patternFill>
    </fill>
    <fill>
      <patternFill patternType="solid">
        <fgColor rgb="FF8F9E78"/>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39" fillId="0" borderId="0" applyNumberFormat="0" applyFill="0" applyBorder="0" applyAlignment="0" applyProtection="0"/>
  </cellStyleXfs>
  <cellXfs count="373">
    <xf numFmtId="0" fontId="0" fillId="0" borderId="0" xfId="0"/>
    <xf numFmtId="9" fontId="4" fillId="0" borderId="0" xfId="1" applyFont="1" applyFill="1" applyBorder="1" applyAlignment="1">
      <alignment horizontal="center"/>
    </xf>
    <xf numFmtId="9" fontId="5" fillId="0" borderId="0" xfId="1" applyFont="1" applyFill="1" applyBorder="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wrapText="1"/>
    </xf>
    <xf numFmtId="9" fontId="5" fillId="0" borderId="0" xfId="1" applyFont="1" applyFill="1" applyBorder="1" applyAlignment="1">
      <alignment horizontal="center" vertical="center"/>
    </xf>
    <xf numFmtId="9" fontId="4" fillId="0" borderId="0" xfId="1"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164" fontId="4" fillId="0" borderId="0" xfId="1" applyNumberFormat="1" applyFont="1" applyFill="1" applyBorder="1" applyAlignment="1">
      <alignment horizontal="center" vertical="center"/>
    </xf>
    <xf numFmtId="9" fontId="6" fillId="0" borderId="0" xfId="1"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wrapText="1"/>
    </xf>
    <xf numFmtId="3" fontId="4" fillId="0" borderId="0" xfId="0" applyNumberFormat="1" applyFont="1" applyAlignment="1">
      <alignment horizontal="center" vertical="center"/>
    </xf>
    <xf numFmtId="3" fontId="5" fillId="0" borderId="0" xfId="0" applyNumberFormat="1" applyFont="1" applyAlignment="1">
      <alignment horizontal="center" vertical="center"/>
    </xf>
    <xf numFmtId="0" fontId="5" fillId="0" borderId="0" xfId="0" applyFont="1" applyAlignment="1">
      <alignment horizontal="left"/>
    </xf>
    <xf numFmtId="0" fontId="3" fillId="0" borderId="0" xfId="0" applyFont="1" applyAlignment="1">
      <alignment horizontal="left"/>
    </xf>
    <xf numFmtId="0" fontId="5" fillId="0" borderId="0" xfId="0" applyFont="1" applyAlignment="1">
      <alignment vertical="center"/>
    </xf>
    <xf numFmtId="3" fontId="4" fillId="0" borderId="0" xfId="0" applyNumberFormat="1" applyFont="1" applyAlignment="1">
      <alignment horizontal="left" vertical="center"/>
    </xf>
    <xf numFmtId="0" fontId="4" fillId="0" borderId="0" xfId="0" applyFont="1" applyAlignment="1">
      <alignment vertical="center"/>
    </xf>
    <xf numFmtId="3" fontId="5" fillId="0" borderId="0" xfId="0" applyNumberFormat="1" applyFont="1" applyAlignment="1">
      <alignment horizontal="left" vertical="center"/>
    </xf>
    <xf numFmtId="0" fontId="2" fillId="0" borderId="0" xfId="0" applyFont="1"/>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3" fontId="12" fillId="0" borderId="0" xfId="0" applyNumberFormat="1" applyFont="1" applyAlignment="1">
      <alignment horizontal="center"/>
    </xf>
    <xf numFmtId="3" fontId="12" fillId="0" borderId="0" xfId="0" applyNumberFormat="1" applyFont="1" applyAlignment="1">
      <alignment horizontal="center" vertical="center"/>
    </xf>
    <xf numFmtId="164" fontId="12" fillId="0" borderId="0" xfId="1" applyNumberFormat="1" applyFont="1" applyFill="1" applyBorder="1" applyAlignment="1">
      <alignment horizontal="center" vertical="center"/>
    </xf>
    <xf numFmtId="4" fontId="12" fillId="0" borderId="0" xfId="0" applyNumberFormat="1" applyFont="1" applyAlignment="1">
      <alignment horizontal="center" vertical="center"/>
    </xf>
    <xf numFmtId="9" fontId="12" fillId="0" borderId="0" xfId="1"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9" fontId="15" fillId="0" borderId="0" xfId="1" applyFont="1" applyFill="1" applyBorder="1" applyAlignment="1">
      <alignment horizontal="center" vertical="center"/>
    </xf>
    <xf numFmtId="164" fontId="12" fillId="0" borderId="0" xfId="1" applyNumberFormat="1" applyFont="1" applyFill="1" applyBorder="1" applyAlignment="1">
      <alignment horizontal="center" vertical="center" wrapText="1"/>
    </xf>
    <xf numFmtId="9" fontId="12" fillId="0" borderId="0" xfId="1" applyFont="1" applyFill="1" applyBorder="1" applyAlignment="1">
      <alignment horizontal="center" vertical="center" wrapText="1"/>
    </xf>
    <xf numFmtId="0" fontId="13"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3" fontId="11" fillId="0" borderId="0" xfId="0" applyNumberFormat="1" applyFont="1" applyAlignment="1">
      <alignment horizontal="center" vertical="center"/>
    </xf>
    <xf numFmtId="3" fontId="18" fillId="0" borderId="0" xfId="0" applyNumberFormat="1" applyFont="1" applyAlignment="1">
      <alignment horizontal="center" vertical="center"/>
    </xf>
    <xf numFmtId="3" fontId="14" fillId="0" borderId="0" xfId="0" applyNumberFormat="1" applyFont="1" applyAlignment="1">
      <alignment horizontal="center" vertical="center"/>
    </xf>
    <xf numFmtId="164" fontId="11" fillId="0" borderId="0" xfId="1" applyNumberFormat="1" applyFont="1" applyFill="1" applyBorder="1" applyAlignment="1">
      <alignment horizontal="center" vertical="center"/>
    </xf>
    <xf numFmtId="3" fontId="11" fillId="0" borderId="0" xfId="0" applyNumberFormat="1" applyFont="1" applyAlignment="1">
      <alignment horizontal="center"/>
    </xf>
    <xf numFmtId="0" fontId="11" fillId="0" borderId="0" xfId="0" applyFont="1" applyAlignment="1">
      <alignment horizontal="center"/>
    </xf>
    <xf numFmtId="0" fontId="20" fillId="0" borderId="0" xfId="0" applyFont="1" applyAlignment="1">
      <alignment horizontal="center" vertical="center"/>
    </xf>
    <xf numFmtId="9" fontId="12" fillId="0" borderId="0" xfId="1" applyFont="1" applyFill="1" applyBorder="1" applyAlignment="1">
      <alignment horizontal="center"/>
    </xf>
    <xf numFmtId="9" fontId="11" fillId="0" borderId="0" xfId="1" applyFont="1" applyFill="1" applyBorder="1" applyAlignment="1">
      <alignment horizontal="center" vertical="center"/>
    </xf>
    <xf numFmtId="0" fontId="14" fillId="0" borderId="0" xfId="0" applyFont="1" applyAlignment="1">
      <alignment horizontal="center" vertical="center"/>
    </xf>
    <xf numFmtId="9" fontId="18" fillId="0" borderId="0" xfId="1" applyFont="1" applyFill="1" applyBorder="1" applyAlignment="1">
      <alignment horizontal="center" vertical="center"/>
    </xf>
    <xf numFmtId="9" fontId="14" fillId="0" borderId="0" xfId="1" applyFont="1" applyFill="1" applyBorder="1" applyAlignment="1">
      <alignment horizontal="center"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xf>
    <xf numFmtId="0" fontId="12" fillId="2" borderId="1" xfId="0" applyFont="1" applyFill="1" applyBorder="1" applyAlignment="1">
      <alignment horizontal="center" vertical="center"/>
    </xf>
    <xf numFmtId="0" fontId="23" fillId="0" borderId="1" xfId="0" applyFont="1" applyBorder="1" applyAlignment="1">
      <alignment horizontal="center" vertical="center" wrapText="1"/>
    </xf>
    <xf numFmtId="0" fontId="21" fillId="0" borderId="0" xfId="0" applyFont="1" applyAlignment="1">
      <alignment horizontal="center" vertical="center"/>
    </xf>
    <xf numFmtId="3" fontId="12" fillId="0" borderId="1" xfId="0" applyNumberFormat="1" applyFont="1" applyBorder="1" applyAlignment="1">
      <alignment horizontal="center" vertical="center"/>
    </xf>
    <xf numFmtId="3" fontId="12" fillId="2" borderId="1" xfId="0" applyNumberFormat="1" applyFont="1" applyFill="1" applyBorder="1" applyAlignment="1">
      <alignment horizontal="center" vertical="center"/>
    </xf>
    <xf numFmtId="3" fontId="23" fillId="0" borderId="0" xfId="0" applyNumberFormat="1"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3" fontId="24" fillId="0" borderId="0" xfId="0" applyNumberFormat="1" applyFont="1" applyAlignment="1">
      <alignment horizontal="center" vertical="center" wrapText="1"/>
    </xf>
    <xf numFmtId="0" fontId="0" fillId="0" borderId="1" xfId="0" applyBorder="1"/>
    <xf numFmtId="0" fontId="22" fillId="0" borderId="0" xfId="0"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3" fontId="22" fillId="0" borderId="0" xfId="0" applyNumberFormat="1"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xf>
    <xf numFmtId="3" fontId="12" fillId="0" borderId="0" xfId="0" applyNumberFormat="1" applyFont="1" applyAlignment="1">
      <alignment horizontal="center" vertical="center" wrapText="1"/>
    </xf>
    <xf numFmtId="0" fontId="30" fillId="0" borderId="1" xfId="0" applyFont="1" applyBorder="1" applyAlignment="1">
      <alignment horizontal="center" vertical="center"/>
    </xf>
    <xf numFmtId="3" fontId="0" fillId="0" borderId="0" xfId="0" applyNumberFormat="1" applyAlignment="1">
      <alignment horizontal="center" vertical="center" wrapText="1"/>
    </xf>
    <xf numFmtId="0" fontId="30" fillId="0" borderId="1" xfId="0" applyFont="1" applyBorder="1" applyAlignment="1">
      <alignment horizontal="center" vertical="center" wrapText="1"/>
    </xf>
    <xf numFmtId="3" fontId="30" fillId="0" borderId="0" xfId="0" applyNumberFormat="1" applyFont="1" applyAlignment="1">
      <alignment horizontal="center" vertical="center" wrapText="1"/>
    </xf>
    <xf numFmtId="3"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0" xfId="0" applyFont="1" applyAlignment="1">
      <alignment horizontal="center" vertical="center" wrapText="1"/>
    </xf>
    <xf numFmtId="0" fontId="0" fillId="0" borderId="0" xfId="0" applyAlignment="1">
      <alignment horizontal="center"/>
    </xf>
    <xf numFmtId="3" fontId="26" fillId="0" borderId="0" xfId="0" applyNumberFormat="1" applyFont="1" applyAlignment="1">
      <alignment horizontal="center" vertical="center" wrapText="1"/>
    </xf>
    <xf numFmtId="0" fontId="11" fillId="0" borderId="0" xfId="0" applyFont="1" applyAlignment="1">
      <alignment horizontal="center" vertical="center" wrapText="1"/>
    </xf>
    <xf numFmtId="0" fontId="23" fillId="0" borderId="0" xfId="0" applyFont="1"/>
    <xf numFmtId="3" fontId="0" fillId="0" borderId="1" xfId="0" applyNumberFormat="1" applyBorder="1" applyAlignment="1">
      <alignment horizontal="center" vertical="center"/>
    </xf>
    <xf numFmtId="0" fontId="23" fillId="0" borderId="1" xfId="0" quotePrefix="1" applyFont="1" applyBorder="1" applyAlignment="1">
      <alignment horizontal="center" vertical="center" wrapText="1"/>
    </xf>
    <xf numFmtId="0" fontId="23" fillId="0" borderId="0" xfId="0" quotePrefix="1" applyFont="1" applyAlignment="1">
      <alignment horizontal="center" vertical="center" wrapText="1"/>
    </xf>
    <xf numFmtId="3" fontId="12" fillId="2" borderId="0" xfId="0" applyNumberFormat="1" applyFont="1" applyFill="1" applyAlignment="1">
      <alignment horizontal="center" vertical="center"/>
    </xf>
    <xf numFmtId="0" fontId="23" fillId="2" borderId="0" xfId="0" applyFont="1" applyFill="1" applyAlignment="1">
      <alignment horizontal="center" vertical="center"/>
    </xf>
    <xf numFmtId="3" fontId="0" fillId="0" borderId="0" xfId="0" applyNumberFormat="1" applyAlignment="1">
      <alignment horizontal="center" vertical="center"/>
    </xf>
    <xf numFmtId="0" fontId="33" fillId="0" borderId="0" xfId="0" applyFont="1" applyAlignment="1">
      <alignment horizontal="center" vertical="center"/>
    </xf>
    <xf numFmtId="0" fontId="0" fillId="0" borderId="0" xfId="0" applyAlignment="1">
      <alignment horizontal="center" vertical="center" wrapText="1"/>
    </xf>
    <xf numFmtId="0" fontId="16" fillId="0" borderId="0" xfId="0" applyFont="1" applyAlignment="1">
      <alignment horizontal="center" vertical="center"/>
    </xf>
    <xf numFmtId="0" fontId="30" fillId="0" borderId="0" xfId="0" applyFont="1" applyAlignment="1">
      <alignment vertical="center"/>
    </xf>
    <xf numFmtId="0" fontId="11" fillId="0" borderId="1" xfId="0" applyFont="1" applyBorder="1" applyAlignment="1">
      <alignment horizontal="center" vertical="center"/>
    </xf>
    <xf numFmtId="0" fontId="18" fillId="0" borderId="0" xfId="0" applyFont="1"/>
    <xf numFmtId="3" fontId="14" fillId="0" borderId="0" xfId="0" applyNumberFormat="1" applyFont="1" applyAlignment="1">
      <alignment horizontal="center"/>
    </xf>
    <xf numFmtId="0" fontId="11" fillId="0" borderId="0" xfId="0" applyFont="1" applyAlignment="1">
      <alignment vertical="center" wrapText="1"/>
    </xf>
    <xf numFmtId="0" fontId="0" fillId="0" borderId="1" xfId="0" applyBorder="1" applyAlignment="1">
      <alignment horizontal="center" vertical="center" wrapText="1"/>
    </xf>
    <xf numFmtId="0" fontId="12" fillId="0" borderId="1" xfId="0" applyFont="1" applyBorder="1" applyAlignment="1">
      <alignment horizontal="center" vertical="center"/>
    </xf>
    <xf numFmtId="0" fontId="36" fillId="0" borderId="1" xfId="0" applyFont="1" applyBorder="1" applyAlignment="1">
      <alignment horizontal="center" vertical="center" wrapText="1"/>
    </xf>
    <xf numFmtId="0" fontId="0" fillId="0" borderId="0" xfId="0" applyAlignment="1">
      <alignment wrapText="1"/>
    </xf>
    <xf numFmtId="0" fontId="11" fillId="0" borderId="0" xfId="0" applyFont="1"/>
    <xf numFmtId="0" fontId="0" fillId="0" borderId="0" xfId="0" applyAlignment="1">
      <alignment vertical="top" wrapText="1"/>
    </xf>
    <xf numFmtId="165" fontId="23" fillId="0" borderId="1" xfId="0" applyNumberFormat="1" applyFont="1" applyBorder="1" applyAlignment="1">
      <alignment horizontal="center" vertical="center" wrapText="1"/>
    </xf>
    <xf numFmtId="0" fontId="37" fillId="0" borderId="0" xfId="0" applyFont="1" applyAlignment="1">
      <alignment horizontal="center" vertical="center" wrapText="1"/>
    </xf>
    <xf numFmtId="3" fontId="23" fillId="0" borderId="1" xfId="0" applyNumberFormat="1" applyFont="1" applyBorder="1" applyAlignment="1">
      <alignment horizontal="center" vertical="center" wrapText="1"/>
    </xf>
    <xf numFmtId="2" fontId="0" fillId="0" borderId="1" xfId="0" applyNumberFormat="1" applyBorder="1" applyAlignment="1">
      <alignment horizontal="center" vertical="center" wrapText="1"/>
    </xf>
    <xf numFmtId="3" fontId="22" fillId="0" borderId="1" xfId="0" applyNumberFormat="1" applyFont="1" applyBorder="1" applyAlignment="1">
      <alignment horizontal="center" vertical="center"/>
    </xf>
    <xf numFmtId="3" fontId="0" fillId="0" borderId="1" xfId="0" applyNumberFormat="1" applyBorder="1" applyAlignment="1">
      <alignment horizontal="center" vertical="center" wrapText="1"/>
    </xf>
    <xf numFmtId="0" fontId="22" fillId="0" borderId="7" xfId="0" applyFont="1" applyBorder="1" applyAlignment="1">
      <alignment horizontal="center" vertical="center"/>
    </xf>
    <xf numFmtId="3" fontId="30" fillId="3" borderId="7" xfId="0" applyNumberFormat="1" applyFont="1" applyFill="1" applyBorder="1" applyAlignment="1">
      <alignment horizontal="center" vertical="center" wrapText="1"/>
    </xf>
    <xf numFmtId="0" fontId="22" fillId="0" borderId="8" xfId="0" applyFont="1" applyBorder="1" applyAlignment="1">
      <alignment horizontal="center" vertical="center" wrapText="1"/>
    </xf>
    <xf numFmtId="166" fontId="0" fillId="0" borderId="1" xfId="0" applyNumberFormat="1" applyBorder="1" applyAlignment="1">
      <alignment horizontal="center" vertical="center"/>
    </xf>
    <xf numFmtId="0" fontId="0" fillId="0" borderId="0" xfId="0" quotePrefix="1"/>
    <xf numFmtId="0" fontId="5" fillId="0" borderId="0" xfId="0" applyFont="1" applyAlignment="1">
      <alignment vertical="center" wrapText="1"/>
    </xf>
    <xf numFmtId="3" fontId="42" fillId="0" borderId="0" xfId="0" applyNumberFormat="1" applyFont="1" applyAlignment="1">
      <alignment horizontal="left"/>
    </xf>
    <xf numFmtId="0" fontId="43" fillId="0" borderId="0" xfId="0" applyFont="1" applyAlignment="1">
      <alignment wrapText="1"/>
    </xf>
    <xf numFmtId="0" fontId="43" fillId="0" borderId="0" xfId="0" applyFont="1"/>
    <xf numFmtId="0" fontId="43" fillId="0" borderId="0" xfId="0" applyFont="1" applyAlignment="1">
      <alignment horizontal="left" wrapText="1"/>
    </xf>
    <xf numFmtId="164" fontId="42" fillId="0" borderId="0" xfId="1" applyNumberFormat="1" applyFont="1" applyFill="1" applyBorder="1" applyAlignment="1">
      <alignment horizontal="left"/>
    </xf>
    <xf numFmtId="0" fontId="8" fillId="0" borderId="0" xfId="0" applyFont="1" applyAlignment="1">
      <alignment vertical="center" wrapText="1"/>
    </xf>
    <xf numFmtId="0" fontId="23" fillId="0" borderId="0" xfId="0" applyFont="1" applyAlignment="1">
      <alignment vertical="top" wrapText="1"/>
    </xf>
    <xf numFmtId="3" fontId="22" fillId="0" borderId="1" xfId="0" applyNumberFormat="1" applyFont="1" applyBorder="1" applyAlignment="1">
      <alignment horizontal="center" vertical="center" wrapText="1"/>
    </xf>
    <xf numFmtId="0" fontId="45" fillId="0" borderId="0" xfId="0" applyFont="1" applyAlignment="1">
      <alignment horizontal="left" vertical="top" wrapText="1"/>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30" fillId="0" borderId="0" xfId="0" applyFont="1" applyAlignment="1">
      <alignment horizontal="center"/>
    </xf>
    <xf numFmtId="0" fontId="11" fillId="0" borderId="0" xfId="0" applyFont="1" applyAlignment="1">
      <alignment horizontal="right" vertical="center" wrapText="1"/>
    </xf>
    <xf numFmtId="3" fontId="23" fillId="0" borderId="0" xfId="0" applyNumberFormat="1" applyFont="1" applyAlignment="1">
      <alignment horizontal="center" vertical="center" wrapText="1"/>
    </xf>
    <xf numFmtId="0" fontId="12" fillId="0" borderId="1" xfId="0" quotePrefix="1" applyFont="1" applyBorder="1" applyAlignment="1">
      <alignment horizontal="center" vertical="center" wrapText="1"/>
    </xf>
    <xf numFmtId="0" fontId="12" fillId="0" borderId="0" xfId="0" applyFont="1" applyAlignment="1">
      <alignment horizontal="right" wrapText="1"/>
    </xf>
    <xf numFmtId="0" fontId="12" fillId="0" borderId="0" xfId="0" applyFont="1" applyAlignment="1">
      <alignment horizontal="right" vertical="center" wrapText="1"/>
    </xf>
    <xf numFmtId="3" fontId="23" fillId="0" borderId="1" xfId="2" applyNumberFormat="1" applyFont="1" applyFill="1" applyBorder="1" applyAlignment="1">
      <alignment horizontal="center" vertical="center" wrapText="1"/>
    </xf>
    <xf numFmtId="1" fontId="0" fillId="0" borderId="1" xfId="0" applyNumberFormat="1" applyBorder="1" applyAlignment="1">
      <alignment horizontal="center" vertical="center"/>
    </xf>
    <xf numFmtId="0" fontId="22" fillId="0" borderId="2" xfId="0" applyFont="1" applyBorder="1" applyAlignment="1">
      <alignment horizontal="center" vertical="center"/>
    </xf>
    <xf numFmtId="0" fontId="0" fillId="0" borderId="7" xfId="0" applyBorder="1" applyAlignment="1">
      <alignment horizontal="center" vertical="center" wrapText="1"/>
    </xf>
    <xf numFmtId="3" fontId="23"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4" fontId="23" fillId="0" borderId="1" xfId="0" applyNumberFormat="1" applyFont="1" applyBorder="1" applyAlignment="1">
      <alignment horizontal="center" vertical="center"/>
    </xf>
    <xf numFmtId="3" fontId="23" fillId="4" borderId="1" xfId="0" applyNumberFormat="1" applyFont="1" applyFill="1" applyBorder="1" applyAlignment="1" applyProtection="1">
      <alignment horizontal="center" vertical="center"/>
      <protection locked="0"/>
    </xf>
    <xf numFmtId="3" fontId="24" fillId="4" borderId="1" xfId="0" applyNumberFormat="1" applyFont="1" applyFill="1" applyBorder="1" applyAlignment="1" applyProtection="1">
      <alignment horizontal="center" vertical="center" wrapText="1"/>
      <protection locked="0"/>
    </xf>
    <xf numFmtId="0" fontId="36" fillId="4" borderId="1"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15" fillId="4" borderId="1" xfId="0" applyFont="1" applyFill="1" applyBorder="1" applyAlignment="1" applyProtection="1">
      <alignment horizontal="center" vertical="center"/>
      <protection locked="0"/>
    </xf>
    <xf numFmtId="2" fontId="0" fillId="4" borderId="1" xfId="0" applyNumberFormat="1" applyFill="1" applyBorder="1" applyAlignment="1" applyProtection="1">
      <alignment horizontal="center" vertical="center"/>
      <protection locked="0"/>
    </xf>
    <xf numFmtId="3" fontId="23" fillId="4" borderId="8" xfId="0" applyNumberFormat="1" applyFont="1" applyFill="1" applyBorder="1" applyAlignment="1" applyProtection="1">
      <alignment horizontal="center" vertical="center"/>
      <protection locked="0"/>
    </xf>
    <xf numFmtId="0" fontId="36" fillId="4" borderId="7" xfId="0" applyFont="1" applyFill="1" applyBorder="1" applyAlignment="1" applyProtection="1">
      <alignment horizontal="center" vertical="center" wrapText="1"/>
      <protection locked="0"/>
    </xf>
    <xf numFmtId="3" fontId="23" fillId="4" borderId="1" xfId="0" applyNumberFormat="1" applyFont="1" applyFill="1" applyBorder="1" applyAlignment="1" applyProtection="1">
      <alignment horizontal="center" vertical="center" wrapText="1"/>
      <protection locked="0"/>
    </xf>
    <xf numFmtId="3" fontId="0" fillId="4" borderId="1" xfId="0" applyNumberFormat="1" applyFill="1" applyBorder="1" applyAlignment="1" applyProtection="1">
      <alignment horizontal="center" vertical="center"/>
      <protection locked="0"/>
    </xf>
    <xf numFmtId="0" fontId="0" fillId="0" borderId="0" xfId="0" applyAlignment="1">
      <alignment vertical="center"/>
    </xf>
    <xf numFmtId="0" fontId="22" fillId="0" borderId="2" xfId="0" applyFont="1" applyBorder="1" applyAlignment="1">
      <alignment horizontal="center" vertical="center" wrapText="1"/>
    </xf>
    <xf numFmtId="0" fontId="0" fillId="0" borderId="0" xfId="0" applyAlignment="1">
      <alignment horizontal="right" vertical="center"/>
    </xf>
    <xf numFmtId="164" fontId="11" fillId="0" borderId="1" xfId="1" applyNumberFormat="1" applyFont="1" applyBorder="1" applyAlignment="1">
      <alignment horizontal="center" vertical="center"/>
    </xf>
    <xf numFmtId="10" fontId="11" fillId="0" borderId="1" xfId="1" applyNumberFormat="1" applyFont="1" applyBorder="1" applyAlignment="1">
      <alignment horizontal="center" vertical="center"/>
    </xf>
    <xf numFmtId="10" fontId="11" fillId="0" borderId="6" xfId="1" applyNumberFormat="1" applyFont="1" applyBorder="1" applyAlignment="1">
      <alignment horizontal="center" vertical="center"/>
    </xf>
    <xf numFmtId="3" fontId="30" fillId="0" borderId="1" xfId="0" applyNumberFormat="1" applyFont="1" applyBorder="1" applyAlignment="1">
      <alignment horizontal="center" vertical="center"/>
    </xf>
    <xf numFmtId="0" fontId="24" fillId="0" borderId="0" xfId="0" applyFont="1" applyAlignment="1">
      <alignment horizontal="left" vertical="center" wrapText="1"/>
    </xf>
    <xf numFmtId="0" fontId="50" fillId="0" borderId="0" xfId="0" applyFont="1" applyAlignment="1">
      <alignment horizontal="center" vertical="center"/>
    </xf>
    <xf numFmtId="0" fontId="0" fillId="0" borderId="2" xfId="0" applyBorder="1" applyAlignment="1">
      <alignment horizontal="center" vertical="center"/>
    </xf>
    <xf numFmtId="0" fontId="12" fillId="0" borderId="2" xfId="0" applyFont="1" applyBorder="1" applyAlignment="1">
      <alignment horizontal="center" vertical="center"/>
    </xf>
    <xf numFmtId="0" fontId="0" fillId="0" borderId="2" xfId="0" applyBorder="1"/>
    <xf numFmtId="3" fontId="23" fillId="0" borderId="8" xfId="0" applyNumberFormat="1" applyFont="1" applyBorder="1" applyAlignment="1">
      <alignment horizontal="center" vertical="center"/>
    </xf>
    <xf numFmtId="0" fontId="36" fillId="0" borderId="0" xfId="0" applyFont="1" applyAlignment="1">
      <alignment horizontal="center" vertical="center" wrapText="1"/>
    </xf>
    <xf numFmtId="3" fontId="30" fillId="0" borderId="1" xfId="0" applyNumberFormat="1" applyFont="1" applyBorder="1" applyAlignment="1">
      <alignment horizontal="center" vertical="center" wrapText="1"/>
    </xf>
    <xf numFmtId="167" fontId="0" fillId="0" borderId="0" xfId="0" applyNumberFormat="1" applyAlignment="1">
      <alignment horizontal="center" vertical="center" wrapText="1"/>
    </xf>
    <xf numFmtId="165" fontId="0" fillId="0" borderId="0" xfId="0" applyNumberFormat="1" applyAlignment="1">
      <alignment horizontal="center" vertical="center" wrapText="1"/>
    </xf>
    <xf numFmtId="3" fontId="0" fillId="4" borderId="1" xfId="0" applyNumberFormat="1" applyFill="1" applyBorder="1" applyAlignment="1" applyProtection="1">
      <alignment horizontal="center" vertical="center" wrapText="1"/>
      <protection locked="0"/>
    </xf>
    <xf numFmtId="3" fontId="0" fillId="4" borderId="6" xfId="0" applyNumberFormat="1" applyFill="1" applyBorder="1" applyAlignment="1" applyProtection="1">
      <alignment horizontal="center" vertical="center" wrapText="1"/>
      <protection locked="0"/>
    </xf>
    <xf numFmtId="3" fontId="30" fillId="3" borderId="13" xfId="0" applyNumberFormat="1" applyFont="1" applyFill="1" applyBorder="1" applyAlignment="1">
      <alignment horizontal="center" vertical="center" wrapText="1"/>
    </xf>
    <xf numFmtId="3" fontId="0" fillId="4" borderId="8" xfId="0" applyNumberFormat="1" applyFill="1" applyBorder="1" applyAlignment="1" applyProtection="1">
      <alignment horizontal="center" vertical="center"/>
      <protection locked="0"/>
    </xf>
    <xf numFmtId="0" fontId="11" fillId="0" borderId="0" xfId="0" applyFont="1" applyAlignment="1">
      <alignment horizontal="right" vertical="center"/>
    </xf>
    <xf numFmtId="3" fontId="0" fillId="0" borderId="0" xfId="0" applyNumberFormat="1"/>
    <xf numFmtId="3" fontId="0" fillId="0" borderId="7" xfId="0" applyNumberFormat="1" applyBorder="1" applyAlignment="1">
      <alignment horizontal="center" vertical="center" wrapText="1"/>
    </xf>
    <xf numFmtId="0" fontId="12" fillId="0" borderId="0" xfId="0" applyFont="1"/>
    <xf numFmtId="0" fontId="12" fillId="0" borderId="0" xfId="0" applyFont="1" applyAlignment="1">
      <alignment horizontal="left" vertical="center"/>
    </xf>
    <xf numFmtId="0" fontId="11" fillId="0" borderId="0" xfId="0" applyFont="1" applyAlignment="1">
      <alignment horizontal="left"/>
    </xf>
    <xf numFmtId="0" fontId="11" fillId="0" borderId="0" xfId="0" applyFont="1" applyAlignment="1">
      <alignment horizontal="right"/>
    </xf>
    <xf numFmtId="0" fontId="11" fillId="0" borderId="0" xfId="0" applyFont="1" applyAlignment="1">
      <alignment vertical="center"/>
    </xf>
    <xf numFmtId="0" fontId="15" fillId="4" borderId="1" xfId="0"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2" fontId="23" fillId="0" borderId="1" xfId="0" applyNumberFormat="1" applyFont="1" applyBorder="1" applyAlignment="1">
      <alignment horizontal="center" vertical="center"/>
    </xf>
    <xf numFmtId="0" fontId="0" fillId="0" borderId="2" xfId="0" applyBorder="1" applyAlignment="1">
      <alignment horizontal="center" vertical="center" wrapText="1"/>
    </xf>
    <xf numFmtId="3" fontId="0" fillId="4" borderId="9" xfId="0" applyNumberFormat="1" applyFill="1" applyBorder="1" applyAlignment="1" applyProtection="1">
      <alignment horizontal="left" vertical="center"/>
      <protection locked="0"/>
    </xf>
    <xf numFmtId="3" fontId="0" fillId="4" borderId="3" xfId="0" applyNumberFormat="1"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3" fontId="0" fillId="4" borderId="10" xfId="0" applyNumberFormat="1" applyFill="1" applyBorder="1" applyAlignment="1" applyProtection="1">
      <alignment horizontal="left" vertical="center"/>
      <protection locked="0"/>
    </xf>
    <xf numFmtId="3" fontId="0" fillId="4" borderId="4" xfId="0" applyNumberFormat="1" applyFill="1" applyBorder="1" applyAlignment="1" applyProtection="1">
      <alignment horizontal="left" vertical="center"/>
      <protection locked="0"/>
    </xf>
    <xf numFmtId="3" fontId="0" fillId="4" borderId="0" xfId="0" applyNumberFormat="1" applyFill="1" applyAlignment="1" applyProtection="1">
      <alignment horizontal="left" vertical="center"/>
      <protection locked="0"/>
    </xf>
    <xf numFmtId="0" fontId="0" fillId="4" borderId="0" xfId="0" applyFill="1" applyAlignment="1" applyProtection="1">
      <alignment horizontal="left" vertical="center"/>
      <protection locked="0"/>
    </xf>
    <xf numFmtId="3" fontId="0" fillId="4" borderId="5" xfId="0" applyNumberFormat="1" applyFill="1" applyBorder="1" applyAlignment="1" applyProtection="1">
      <alignment horizontal="left" vertical="center"/>
      <protection locked="0"/>
    </xf>
    <xf numFmtId="3" fontId="26" fillId="4" borderId="4" xfId="0" applyNumberFormat="1" applyFont="1" applyFill="1" applyBorder="1" applyAlignment="1" applyProtection="1">
      <alignment horizontal="left" vertical="center"/>
      <protection locked="0"/>
    </xf>
    <xf numFmtId="3" fontId="24" fillId="4" borderId="4" xfId="0" applyNumberFormat="1" applyFont="1" applyFill="1" applyBorder="1" applyAlignment="1" applyProtection="1">
      <alignment horizontal="left" vertical="center"/>
      <protection locked="0"/>
    </xf>
    <xf numFmtId="3" fontId="24" fillId="4" borderId="0" xfId="0" applyNumberFormat="1" applyFont="1" applyFill="1" applyAlignment="1" applyProtection="1">
      <alignment horizontal="left" vertical="center"/>
      <protection locked="0"/>
    </xf>
    <xf numFmtId="3" fontId="24" fillId="4" borderId="5" xfId="0" applyNumberFormat="1" applyFont="1"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23" fillId="4" borderId="0" xfId="0" applyFont="1" applyFill="1" applyAlignment="1" applyProtection="1">
      <alignment horizontal="left" vertical="center"/>
      <protection locked="0"/>
    </xf>
    <xf numFmtId="0" fontId="28" fillId="4" borderId="0" xfId="0" applyFont="1" applyFill="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23" fillId="4" borderId="4" xfId="0" applyFont="1" applyFill="1" applyBorder="1" applyAlignment="1" applyProtection="1">
      <alignment horizontal="left" vertical="center"/>
      <protection locked="0"/>
    </xf>
    <xf numFmtId="0" fontId="0" fillId="4" borderId="0" xfId="0" applyFill="1" applyAlignment="1" applyProtection="1">
      <alignment horizontal="left"/>
      <protection locked="0"/>
    </xf>
    <xf numFmtId="0" fontId="0" fillId="4" borderId="5" xfId="0" applyFill="1" applyBorder="1" applyAlignment="1" applyProtection="1">
      <alignment horizontal="left"/>
      <protection locked="0"/>
    </xf>
    <xf numFmtId="0" fontId="29" fillId="4" borderId="0" xfId="0" applyFont="1" applyFill="1" applyAlignment="1" applyProtection="1">
      <alignment horizontal="left" vertical="center"/>
      <protection locked="0"/>
    </xf>
    <xf numFmtId="0" fontId="12" fillId="4" borderId="0" xfId="0" applyFont="1" applyFill="1" applyAlignment="1" applyProtection="1">
      <alignment horizontal="left" vertical="center"/>
      <protection locked="0"/>
    </xf>
    <xf numFmtId="3" fontId="12" fillId="4" borderId="5" xfId="0" applyNumberFormat="1" applyFont="1" applyFill="1" applyBorder="1" applyAlignment="1" applyProtection="1">
      <alignment horizontal="left" vertical="center"/>
      <protection locked="0"/>
    </xf>
    <xf numFmtId="3" fontId="23" fillId="4" borderId="4" xfId="0" applyNumberFormat="1" applyFont="1" applyFill="1" applyBorder="1" applyAlignment="1" applyProtection="1">
      <alignment horizontal="left" vertical="center"/>
      <protection locked="0"/>
    </xf>
    <xf numFmtId="0" fontId="28" fillId="4" borderId="4" xfId="0" applyFont="1" applyFill="1" applyBorder="1" applyAlignment="1" applyProtection="1">
      <alignment vertical="center"/>
      <protection locked="0"/>
    </xf>
    <xf numFmtId="0" fontId="28" fillId="4" borderId="0" xfId="0" applyFont="1" applyFill="1" applyAlignment="1" applyProtection="1">
      <alignment vertical="center"/>
      <protection locked="0"/>
    </xf>
    <xf numFmtId="3" fontId="12" fillId="4" borderId="0" xfId="0" applyNumberFormat="1" applyFont="1" applyFill="1" applyAlignment="1" applyProtection="1">
      <alignment horizontal="left" vertical="center"/>
      <protection locked="0"/>
    </xf>
    <xf numFmtId="0" fontId="23" fillId="4" borderId="11" xfId="0" applyFont="1"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29" fillId="4" borderId="2" xfId="0" applyFont="1"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166" fontId="23" fillId="4" borderId="1" xfId="0" applyNumberFormat="1" applyFont="1" applyFill="1" applyBorder="1" applyAlignment="1" applyProtection="1">
      <alignment horizontal="center" vertical="center" wrapText="1"/>
      <protection locked="0"/>
    </xf>
    <xf numFmtId="0" fontId="11" fillId="0" borderId="0" xfId="0" applyFont="1" applyAlignment="1">
      <alignment horizontal="center" vertical="top" wrapText="1"/>
    </xf>
    <xf numFmtId="9" fontId="11" fillId="0" borderId="1" xfId="1" applyFont="1" applyFill="1" applyBorder="1" applyAlignment="1">
      <alignment horizontal="center" vertical="center"/>
    </xf>
    <xf numFmtId="166" fontId="23" fillId="0" borderId="1" xfId="0" applyNumberFormat="1" applyFont="1" applyBorder="1" applyAlignment="1">
      <alignment horizontal="center" vertical="center"/>
    </xf>
    <xf numFmtId="0" fontId="11" fillId="0" borderId="0" xfId="0" applyFont="1" applyAlignment="1">
      <alignment horizontal="left" vertical="top"/>
    </xf>
    <xf numFmtId="0" fontId="23" fillId="0" borderId="2" xfId="0" applyFont="1" applyBorder="1" applyAlignment="1">
      <alignment horizontal="center" vertical="center"/>
    </xf>
    <xf numFmtId="3" fontId="23" fillId="0" borderId="2" xfId="2"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23" fillId="0" borderId="2" xfId="0" quotePrefix="1" applyFont="1" applyBorder="1" applyAlignment="1">
      <alignment horizontal="center" vertical="center" wrapText="1"/>
    </xf>
    <xf numFmtId="3" fontId="23" fillId="0" borderId="2" xfId="0" applyNumberFormat="1" applyFont="1" applyBorder="1" applyAlignment="1">
      <alignment horizontal="center" vertical="center" wrapText="1"/>
    </xf>
    <xf numFmtId="0" fontId="19" fillId="0" borderId="0" xfId="0" applyFont="1" applyAlignment="1">
      <alignment vertical="top" wrapText="1"/>
    </xf>
    <xf numFmtId="0" fontId="51" fillId="0" borderId="0" xfId="0" applyFont="1" applyAlignment="1">
      <alignment vertical="top" wrapText="1"/>
    </xf>
    <xf numFmtId="0" fontId="11" fillId="0" borderId="0" xfId="0" applyFont="1" applyAlignment="1">
      <alignment vertical="top" wrapText="1"/>
    </xf>
    <xf numFmtId="0" fontId="22" fillId="0" borderId="0" xfId="0" applyFont="1" applyAlignment="1">
      <alignment vertical="center"/>
    </xf>
    <xf numFmtId="0" fontId="12" fillId="0" borderId="0" xfId="0" applyFont="1" applyAlignment="1">
      <alignment vertical="center" wrapText="1"/>
    </xf>
    <xf numFmtId="2" fontId="0" fillId="0" borderId="1" xfId="0" applyNumberFormat="1" applyBorder="1" applyAlignment="1">
      <alignment horizontal="center" vertical="center"/>
    </xf>
    <xf numFmtId="167" fontId="23" fillId="0" borderId="1" xfId="0" applyNumberFormat="1" applyFont="1" applyBorder="1" applyAlignment="1">
      <alignment horizontal="center" vertical="center"/>
    </xf>
    <xf numFmtId="167" fontId="0" fillId="0" borderId="1" xfId="0" applyNumberFormat="1" applyBorder="1" applyAlignment="1">
      <alignment horizontal="center" vertical="center"/>
    </xf>
    <xf numFmtId="0" fontId="52" fillId="0" borderId="0" xfId="0" applyFont="1"/>
    <xf numFmtId="0" fontId="53" fillId="0" borderId="2" xfId="0" applyFont="1" applyBorder="1" applyAlignment="1">
      <alignment horizontal="center" vertical="center"/>
    </xf>
    <xf numFmtId="0" fontId="24" fillId="0" borderId="0" xfId="0" applyFont="1" applyAlignment="1">
      <alignment horizontal="center" vertical="center" wrapText="1"/>
    </xf>
    <xf numFmtId="0" fontId="57" fillId="5" borderId="6" xfId="0" applyFont="1" applyFill="1" applyBorder="1" applyAlignment="1">
      <alignment horizontal="center" vertical="center" wrapText="1"/>
    </xf>
    <xf numFmtId="0" fontId="55" fillId="6" borderId="12" xfId="0" applyFont="1" applyFill="1" applyBorder="1" applyAlignment="1">
      <alignment horizontal="center" vertical="center"/>
    </xf>
    <xf numFmtId="0" fontId="57" fillId="5" borderId="1" xfId="0" applyFont="1" applyFill="1" applyBorder="1" applyAlignment="1">
      <alignment horizontal="center" vertical="center" wrapText="1"/>
    </xf>
    <xf numFmtId="0" fontId="55" fillId="6" borderId="1" xfId="0" applyFont="1" applyFill="1" applyBorder="1" applyAlignment="1">
      <alignment horizontal="center" vertical="center" wrapText="1"/>
    </xf>
    <xf numFmtId="3" fontId="30" fillId="5" borderId="1" xfId="0" applyNumberFormat="1" applyFont="1" applyFill="1" applyBorder="1" applyAlignment="1">
      <alignment horizontal="center" vertical="center" wrapText="1"/>
    </xf>
    <xf numFmtId="4" fontId="23" fillId="5" borderId="1" xfId="0" applyNumberFormat="1" applyFont="1" applyFill="1" applyBorder="1" applyAlignment="1">
      <alignment horizontal="center" vertical="center"/>
    </xf>
    <xf numFmtId="0" fontId="12" fillId="5" borderId="1" xfId="0" quotePrefix="1" applyFont="1" applyFill="1" applyBorder="1" applyAlignment="1">
      <alignment horizontal="center" vertical="center" wrapText="1"/>
    </xf>
    <xf numFmtId="0" fontId="12" fillId="5" borderId="1" xfId="0" applyFont="1" applyFill="1" applyBorder="1" applyAlignment="1">
      <alignment horizontal="center" vertical="center" wrapText="1"/>
    </xf>
    <xf numFmtId="3" fontId="2" fillId="0" borderId="0" xfId="0" applyNumberFormat="1" applyFont="1"/>
    <xf numFmtId="0" fontId="11" fillId="5" borderId="1" xfId="0" applyFont="1" applyFill="1" applyBorder="1" applyAlignment="1">
      <alignment horizontal="center" vertical="center" wrapText="1"/>
    </xf>
    <xf numFmtId="0" fontId="59" fillId="0" borderId="0" xfId="0" applyFont="1"/>
    <xf numFmtId="0" fontId="60" fillId="5" borderId="1" xfId="0" applyFont="1" applyFill="1" applyBorder="1" applyAlignment="1">
      <alignment horizontal="center" vertical="center" wrapText="1"/>
    </xf>
    <xf numFmtId="0" fontId="23" fillId="0" borderId="0" xfId="0" applyFont="1" applyAlignment="1">
      <alignment vertical="top"/>
    </xf>
    <xf numFmtId="0" fontId="56" fillId="0" borderId="0" xfId="0" applyFont="1" applyAlignment="1">
      <alignment vertical="center"/>
    </xf>
    <xf numFmtId="4" fontId="23" fillId="0" borderId="0" xfId="0" applyNumberFormat="1" applyFont="1" applyAlignment="1">
      <alignment horizontal="center" vertical="center"/>
    </xf>
    <xf numFmtId="0" fontId="0" fillId="4" borderId="1" xfId="0" applyFill="1" applyBorder="1" applyProtection="1">
      <protection locked="0"/>
    </xf>
    <xf numFmtId="0" fontId="58" fillId="7" borderId="12"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55" fillId="0" borderId="6" xfId="0" applyFont="1" applyBorder="1" applyAlignment="1">
      <alignment horizontal="center" vertical="center" wrapText="1"/>
    </xf>
    <xf numFmtId="0" fontId="5" fillId="0" borderId="0" xfId="0" applyFont="1" applyAlignment="1">
      <alignment horizontal="center" vertical="center" wrapText="1"/>
    </xf>
    <xf numFmtId="0" fontId="44" fillId="0" borderId="0" xfId="0" applyFont="1" applyAlignment="1">
      <alignment horizontal="center" vertical="center" wrapText="1"/>
    </xf>
    <xf numFmtId="0" fontId="10" fillId="0" borderId="0" xfId="0" applyFont="1" applyAlignment="1">
      <alignment horizontal="center" vertical="center" wrapText="1"/>
    </xf>
    <xf numFmtId="0" fontId="4" fillId="4" borderId="1"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0" fontId="5" fillId="4" borderId="14"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wrapText="1"/>
      <protection locked="0"/>
    </xf>
    <xf numFmtId="0" fontId="5" fillId="4" borderId="14"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4" fillId="4" borderId="7" xfId="1" applyNumberFormat="1" applyFont="1" applyFill="1" applyBorder="1" applyAlignment="1" applyProtection="1">
      <alignment horizontal="left" vertical="center"/>
      <protection locked="0"/>
    </xf>
    <xf numFmtId="0" fontId="4" fillId="4" borderId="14" xfId="1" applyNumberFormat="1" applyFont="1" applyFill="1" applyBorder="1" applyAlignment="1" applyProtection="1">
      <alignment horizontal="left" vertical="center"/>
      <protection locked="0"/>
    </xf>
    <xf numFmtId="0" fontId="4" fillId="4" borderId="8" xfId="1" applyNumberFormat="1"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protection locked="0"/>
    </xf>
    <xf numFmtId="0" fontId="8" fillId="0" borderId="0" xfId="0" applyFont="1" applyAlignment="1">
      <alignment horizontal="left" vertical="center" wrapText="1"/>
    </xf>
    <xf numFmtId="0" fontId="26" fillId="0" borderId="0" xfId="0" applyFont="1" applyAlignment="1">
      <alignment horizontal="center" vertical="center"/>
    </xf>
    <xf numFmtId="0" fontId="0" fillId="0" borderId="0" xfId="0" applyAlignment="1">
      <alignment horizontal="center" vertical="center"/>
    </xf>
    <xf numFmtId="3" fontId="24" fillId="0" borderId="0" xfId="0" applyNumberFormat="1" applyFont="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0" xfId="0" applyFont="1" applyAlignment="1">
      <alignment horizontal="center" vertical="center" wrapText="1"/>
    </xf>
    <xf numFmtId="0" fontId="21" fillId="0" borderId="2" xfId="0" applyFont="1" applyBorder="1" applyAlignment="1">
      <alignment horizontal="center" vertical="center"/>
    </xf>
    <xf numFmtId="164" fontId="12" fillId="0" borderId="0" xfId="1" applyNumberFormat="1" applyFont="1" applyFill="1" applyBorder="1" applyAlignment="1">
      <alignment horizontal="center" vertical="center" wrapText="1"/>
    </xf>
    <xf numFmtId="0" fontId="11" fillId="0" borderId="0" xfId="0" applyFont="1" applyAlignment="1">
      <alignment horizontal="center" vertical="center"/>
    </xf>
    <xf numFmtId="0" fontId="18"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xf>
    <xf numFmtId="0" fontId="19" fillId="0" borderId="0" xfId="0" applyFont="1" applyAlignment="1">
      <alignment horizontal="center" vertical="center"/>
    </xf>
    <xf numFmtId="0" fontId="16" fillId="0" borderId="0" xfId="0" applyFont="1" applyAlignment="1">
      <alignment vertical="center"/>
    </xf>
    <xf numFmtId="0" fontId="0" fillId="0" borderId="0" xfId="0" applyAlignment="1">
      <alignment vertical="center"/>
    </xf>
    <xf numFmtId="0" fontId="13"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lignment horizontal="center" vertical="center"/>
    </xf>
    <xf numFmtId="3" fontId="23" fillId="0" borderId="3" xfId="0" applyNumberFormat="1" applyFont="1" applyBorder="1" applyAlignment="1">
      <alignment horizontal="center" vertical="center"/>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1" fillId="0" borderId="0" xfId="0" applyFont="1" applyAlignment="1">
      <alignment horizontal="center" vertical="center"/>
    </xf>
    <xf numFmtId="0" fontId="30" fillId="0" borderId="2" xfId="0" applyFont="1" applyBorder="1" applyAlignment="1">
      <alignment horizontal="center" vertical="center"/>
    </xf>
    <xf numFmtId="3" fontId="12" fillId="0" borderId="3" xfId="0" applyNumberFormat="1" applyFont="1" applyBorder="1" applyAlignment="1">
      <alignment horizontal="center" vertical="top" wrapText="1"/>
    </xf>
    <xf numFmtId="0" fontId="11" fillId="0" borderId="3" xfId="0" applyFont="1" applyBorder="1" applyAlignment="1">
      <alignment horizontal="center" vertical="center" wrapText="1"/>
    </xf>
    <xf numFmtId="0" fontId="23" fillId="0" borderId="3" xfId="0" applyFont="1" applyBorder="1" applyAlignment="1">
      <alignment horizontal="center" vertical="top" wrapText="1"/>
    </xf>
    <xf numFmtId="0" fontId="23" fillId="0" borderId="0" xfId="0" applyFont="1" applyAlignment="1">
      <alignment horizontal="center" vertical="top" wrapText="1"/>
    </xf>
    <xf numFmtId="0" fontId="12" fillId="0" borderId="0" xfId="0" applyFont="1" applyAlignment="1">
      <alignment horizontal="center" vertical="center" wrapText="1"/>
    </xf>
    <xf numFmtId="0" fontId="0" fillId="0" borderId="3" xfId="0" applyBorder="1" applyAlignment="1">
      <alignment horizontal="center" vertical="center" wrapText="1"/>
    </xf>
    <xf numFmtId="0" fontId="22" fillId="0" borderId="2" xfId="0" applyFont="1" applyBorder="1" applyAlignment="1">
      <alignment horizontal="center" vertical="center"/>
    </xf>
    <xf numFmtId="0" fontId="0" fillId="0" borderId="3" xfId="0" applyBorder="1" applyAlignment="1">
      <alignment horizontal="center" vertical="top" wrapText="1"/>
    </xf>
    <xf numFmtId="0" fontId="19" fillId="0" borderId="3" xfId="0" applyFont="1" applyBorder="1" applyAlignment="1">
      <alignment horizontal="left"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xf>
    <xf numFmtId="0" fontId="22" fillId="0" borderId="2" xfId="0" applyFont="1" applyBorder="1" applyAlignment="1">
      <alignment horizontal="center" vertical="center" wrapText="1"/>
    </xf>
    <xf numFmtId="0" fontId="19" fillId="0" borderId="3" xfId="0" applyFont="1" applyBorder="1" applyAlignment="1">
      <alignment horizontal="left" vertical="top" wrapText="1"/>
    </xf>
    <xf numFmtId="3" fontId="37" fillId="0" borderId="0" xfId="0" applyNumberFormat="1" applyFont="1" applyAlignment="1">
      <alignment horizontal="center" vertical="center" wrapText="1"/>
    </xf>
    <xf numFmtId="0" fontId="15" fillId="0" borderId="0" xfId="0" applyFont="1" applyAlignment="1">
      <alignment horizontal="left" vertical="top" wrapText="1"/>
    </xf>
    <xf numFmtId="3" fontId="37" fillId="0" borderId="2" xfId="0" applyNumberFormat="1" applyFont="1" applyBorder="1" applyAlignment="1">
      <alignment horizontal="center" vertical="center" wrapText="1"/>
    </xf>
    <xf numFmtId="3" fontId="0" fillId="0" borderId="0" xfId="0" applyNumberFormat="1" applyAlignment="1">
      <alignment horizontal="center" vertical="center" wrapText="1"/>
    </xf>
    <xf numFmtId="0" fontId="23" fillId="0" borderId="14" xfId="0" applyFont="1" applyBorder="1" applyAlignment="1">
      <alignment horizontal="center" vertical="top" wrapText="1"/>
    </xf>
    <xf numFmtId="0" fontId="56" fillId="0" borderId="2" xfId="0" applyFont="1" applyBorder="1" applyAlignment="1">
      <alignment horizontal="center" vertical="center"/>
    </xf>
    <xf numFmtId="0" fontId="15" fillId="0" borderId="3" xfId="0" applyFont="1" applyBorder="1" applyAlignment="1">
      <alignment horizontal="left" vertical="top" wrapText="1"/>
    </xf>
    <xf numFmtId="0" fontId="19" fillId="0" borderId="3" xfId="0" applyFont="1" applyBorder="1" applyAlignment="1">
      <alignment horizontal="left" vertical="center"/>
    </xf>
    <xf numFmtId="0" fontId="0" fillId="0" borderId="3" xfId="0" applyBorder="1" applyAlignment="1">
      <alignment horizontal="left" vertical="center"/>
    </xf>
    <xf numFmtId="0" fontId="54" fillId="0" borderId="2" xfId="0" applyFont="1" applyBorder="1" applyAlignment="1">
      <alignment horizontal="center" vertical="center" wrapText="1"/>
    </xf>
    <xf numFmtId="0" fontId="55" fillId="5" borderId="0" xfId="0" applyFont="1" applyFill="1" applyAlignment="1">
      <alignment horizontal="center" vertical="top" wrapText="1"/>
    </xf>
    <xf numFmtId="0" fontId="0" fillId="0" borderId="4" xfId="0" applyBorder="1" applyAlignment="1">
      <alignment horizontal="left" wrapText="1"/>
    </xf>
    <xf numFmtId="3" fontId="30" fillId="0" borderId="2" xfId="0" applyNumberFormat="1" applyFont="1" applyBorder="1" applyAlignment="1">
      <alignment horizontal="center" vertical="center" wrapText="1"/>
    </xf>
    <xf numFmtId="0" fontId="24" fillId="0" borderId="3" xfId="0" applyFont="1" applyBorder="1" applyAlignment="1">
      <alignment horizontal="left" wrapText="1"/>
    </xf>
    <xf numFmtId="0" fontId="0" fillId="0" borderId="3" xfId="0" applyBorder="1" applyAlignment="1">
      <alignment horizontal="left" wrapText="1"/>
    </xf>
    <xf numFmtId="2" fontId="23" fillId="0" borderId="1" xfId="0" applyNumberFormat="1" applyFont="1" applyBorder="1" applyAlignment="1">
      <alignment horizontal="center" vertical="center" wrapText="1"/>
    </xf>
    <xf numFmtId="2" fontId="0" fillId="0" borderId="13" xfId="0" applyNumberFormat="1" applyBorder="1" applyAlignment="1">
      <alignment horizontal="center" vertical="center" wrapText="1"/>
    </xf>
    <xf numFmtId="2" fontId="0" fillId="0" borderId="15" xfId="0" applyNumberFormat="1" applyBorder="1" applyAlignment="1">
      <alignment horizontal="center" vertical="center" wrapText="1"/>
    </xf>
    <xf numFmtId="2" fontId="0" fillId="0" borderId="6" xfId="0" applyNumberFormat="1" applyBorder="1" applyAlignment="1">
      <alignment horizontal="center" vertical="center" wrapText="1"/>
    </xf>
    <xf numFmtId="2" fontId="23" fillId="0" borderId="13" xfId="0" applyNumberFormat="1" applyFont="1" applyBorder="1" applyAlignment="1">
      <alignment horizontal="center" vertical="center" wrapText="1"/>
    </xf>
    <xf numFmtId="2" fontId="23" fillId="0" borderId="6" xfId="0" applyNumberFormat="1" applyFont="1" applyBorder="1" applyAlignment="1">
      <alignment horizontal="center" vertical="center" wrapText="1"/>
    </xf>
    <xf numFmtId="0" fontId="33" fillId="0" borderId="2" xfId="0" applyFont="1" applyBorder="1" applyAlignment="1">
      <alignment horizontal="center" vertical="center"/>
    </xf>
    <xf numFmtId="3" fontId="30" fillId="3" borderId="7" xfId="0" applyNumberFormat="1" applyFont="1" applyFill="1" applyBorder="1" applyAlignment="1">
      <alignment horizontal="center" vertical="center" wrapText="1"/>
    </xf>
    <xf numFmtId="3" fontId="30" fillId="3" borderId="8" xfId="0" applyNumberFormat="1" applyFont="1" applyFill="1" applyBorder="1" applyAlignment="1">
      <alignment horizontal="center" vertical="center" wrapText="1"/>
    </xf>
    <xf numFmtId="4" fontId="0" fillId="0" borderId="7" xfId="0" applyNumberFormat="1" applyBorder="1" applyAlignment="1">
      <alignment horizontal="center" vertical="center" wrapText="1"/>
    </xf>
    <xf numFmtId="4" fontId="0" fillId="0" borderId="8" xfId="0" applyNumberFormat="1" applyBorder="1" applyAlignment="1">
      <alignment horizontal="center" vertical="center" wrapText="1"/>
    </xf>
    <xf numFmtId="0" fontId="26" fillId="0" borderId="2" xfId="0" applyFont="1" applyBorder="1" applyAlignment="1">
      <alignment horizontal="center" vertical="center"/>
    </xf>
    <xf numFmtId="3" fontId="26" fillId="0" borderId="2" xfId="0" applyNumberFormat="1" applyFont="1" applyBorder="1" applyAlignment="1">
      <alignment horizontal="center" vertical="center" wrapText="1"/>
    </xf>
    <xf numFmtId="3" fontId="30" fillId="3" borderId="1" xfId="0" applyNumberFormat="1" applyFont="1" applyFill="1" applyBorder="1" applyAlignment="1">
      <alignment horizontal="center" vertical="center" wrapText="1"/>
    </xf>
    <xf numFmtId="167" fontId="0" fillId="0" borderId="7" xfId="0" applyNumberFormat="1" applyBorder="1" applyAlignment="1">
      <alignment horizontal="center" vertical="center" wrapText="1"/>
    </xf>
    <xf numFmtId="167" fontId="0" fillId="0" borderId="8" xfId="0" applyNumberFormat="1" applyBorder="1" applyAlignment="1">
      <alignment horizontal="center" vertical="center" wrapText="1"/>
    </xf>
    <xf numFmtId="165"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0" fontId="33" fillId="0" borderId="0" xfId="0" applyFont="1" applyAlignment="1">
      <alignment horizontal="center" vertical="center"/>
    </xf>
    <xf numFmtId="0" fontId="28" fillId="0" borderId="0" xfId="0" applyFont="1" applyAlignment="1">
      <alignment horizontal="center" vertical="center"/>
    </xf>
    <xf numFmtId="3" fontId="22" fillId="0" borderId="1" xfId="0" applyNumberFormat="1" applyFont="1" applyBorder="1" applyAlignment="1">
      <alignment horizontal="center" vertical="center"/>
    </xf>
    <xf numFmtId="3" fontId="23" fillId="0" borderId="1" xfId="0" applyNumberFormat="1" applyFont="1" applyBorder="1" applyAlignment="1">
      <alignment horizontal="center" vertical="center"/>
    </xf>
    <xf numFmtId="3" fontId="23" fillId="0" borderId="7" xfId="0" applyNumberFormat="1" applyFont="1" applyBorder="1" applyAlignment="1">
      <alignment horizontal="center" vertical="center"/>
    </xf>
    <xf numFmtId="3" fontId="23" fillId="0" borderId="8" xfId="0" applyNumberFormat="1"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xf>
    <xf numFmtId="0" fontId="0" fillId="0" borderId="3" xfId="0" applyBorder="1" applyAlignment="1">
      <alignment horizontal="center" vertical="center"/>
    </xf>
    <xf numFmtId="0" fontId="49" fillId="0" borderId="0" xfId="0"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F9E78"/>
      <color rgb="FF417B95"/>
      <color rgb="FFEAC971"/>
      <color rgb="FFEDEFF3"/>
      <color rgb="FFE8E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sv-SE" sz="1600"/>
              <a:t>Årlig klimatpåverkan</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5.6378900554097403E-2"/>
          <c:y val="6.9679144385026745E-2"/>
          <c:w val="0.93343591426071737"/>
          <c:h val="0.85337193144974521"/>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8F9E78"/>
              </a:solidFill>
              <a:ln>
                <a:noFill/>
              </a:ln>
              <a:effectLst/>
            </c:spPr>
            <c:extLst>
              <c:ext xmlns:c16="http://schemas.microsoft.com/office/drawing/2014/chart" uri="{C3380CC4-5D6E-409C-BE32-E72D297353CC}">
                <c16:uniqueId val="{00000006-DA0A-496C-9394-66F1EF82D6A9}"/>
              </c:ext>
            </c:extLst>
          </c:dPt>
          <c:dPt>
            <c:idx val="1"/>
            <c:invertIfNegative val="0"/>
            <c:bubble3D val="0"/>
            <c:spPr>
              <a:solidFill>
                <a:srgbClr val="8F9E78"/>
              </a:solidFill>
              <a:ln>
                <a:noFill/>
              </a:ln>
              <a:effectLst/>
            </c:spPr>
            <c:extLst>
              <c:ext xmlns:c16="http://schemas.microsoft.com/office/drawing/2014/chart" uri="{C3380CC4-5D6E-409C-BE32-E72D297353CC}">
                <c16:uniqueId val="{00000007-DA0A-496C-9394-66F1EF82D6A9}"/>
              </c:ext>
            </c:extLst>
          </c:dPt>
          <c:dPt>
            <c:idx val="2"/>
            <c:invertIfNegative val="0"/>
            <c:bubble3D val="0"/>
            <c:spPr>
              <a:solidFill>
                <a:srgbClr val="8F9E78"/>
              </a:solidFill>
              <a:ln>
                <a:noFill/>
              </a:ln>
              <a:effectLst/>
            </c:spPr>
            <c:extLst>
              <c:ext xmlns:c16="http://schemas.microsoft.com/office/drawing/2014/chart" uri="{C3380CC4-5D6E-409C-BE32-E72D297353CC}">
                <c16:uniqueId val="{00000005-DA0A-496C-9394-66F1EF82D6A9}"/>
              </c:ext>
            </c:extLst>
          </c:dPt>
          <c:dPt>
            <c:idx val="3"/>
            <c:invertIfNegative val="0"/>
            <c:bubble3D val="0"/>
            <c:spPr>
              <a:solidFill>
                <a:srgbClr val="8F9E78"/>
              </a:solidFill>
              <a:ln>
                <a:noFill/>
              </a:ln>
              <a:effectLst/>
            </c:spPr>
            <c:extLst>
              <c:ext xmlns:c16="http://schemas.microsoft.com/office/drawing/2014/chart" uri="{C3380CC4-5D6E-409C-BE32-E72D297353CC}">
                <c16:uniqueId val="{00000004-DA0A-496C-9394-66F1EF82D6A9}"/>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8-DA0A-496C-9394-66F1EF82D6A9}"/>
              </c:ext>
            </c:extLst>
          </c:dPt>
          <c:dPt>
            <c:idx val="5"/>
            <c:invertIfNegative val="0"/>
            <c:bubble3D val="0"/>
            <c:spPr>
              <a:solidFill>
                <a:srgbClr val="417B95"/>
              </a:solidFill>
              <a:ln>
                <a:noFill/>
              </a:ln>
              <a:effectLst/>
            </c:spPr>
            <c:extLst>
              <c:ext xmlns:c16="http://schemas.microsoft.com/office/drawing/2014/chart" uri="{C3380CC4-5D6E-409C-BE32-E72D297353CC}">
                <c16:uniqueId val="{00000001-DA0A-496C-9394-66F1EF82D6A9}"/>
              </c:ext>
            </c:extLst>
          </c:dPt>
          <c:dPt>
            <c:idx val="6"/>
            <c:invertIfNegative val="0"/>
            <c:bubble3D val="0"/>
            <c:spPr>
              <a:solidFill>
                <a:srgbClr val="417B95"/>
              </a:solidFill>
              <a:ln>
                <a:noFill/>
              </a:ln>
              <a:effectLst/>
            </c:spPr>
            <c:extLst>
              <c:ext xmlns:c16="http://schemas.microsoft.com/office/drawing/2014/chart" uri="{C3380CC4-5D6E-409C-BE32-E72D297353CC}">
                <c16:uniqueId val="{00000002-DA0A-496C-9394-66F1EF82D6A9}"/>
              </c:ext>
            </c:extLst>
          </c:dPt>
          <c:dPt>
            <c:idx val="8"/>
            <c:invertIfNegative val="0"/>
            <c:bubble3D val="0"/>
            <c:spPr>
              <a:solidFill>
                <a:srgbClr val="417B95"/>
              </a:solidFill>
              <a:ln>
                <a:noFill/>
              </a:ln>
              <a:effectLst/>
            </c:spPr>
            <c:extLst>
              <c:ext xmlns:c16="http://schemas.microsoft.com/office/drawing/2014/chart" uri="{C3380CC4-5D6E-409C-BE32-E72D297353CC}">
                <c16:uniqueId val="{00000009-DA0A-496C-9394-66F1EF82D6A9}"/>
              </c:ext>
            </c:extLst>
          </c:dPt>
          <c:dPt>
            <c:idx val="9"/>
            <c:invertIfNegative val="0"/>
            <c:bubble3D val="0"/>
            <c:spPr>
              <a:solidFill>
                <a:srgbClr val="417B95"/>
              </a:solidFill>
              <a:ln>
                <a:noFill/>
              </a:ln>
              <a:effectLst/>
            </c:spPr>
            <c:extLst>
              <c:ext xmlns:c16="http://schemas.microsoft.com/office/drawing/2014/chart" uri="{C3380CC4-5D6E-409C-BE32-E72D297353CC}">
                <c16:uniqueId val="{00000011-5C0C-4209-993E-6C160A08080F}"/>
              </c:ext>
            </c:extLst>
          </c:dPt>
          <c:cat>
            <c:strRef>
              <c:f>'Resultatpresentation i tabell'!$B$13:$K$13</c:f>
              <c:strCache>
                <c:ptCount val="10"/>
                <c:pt idx="0">
                  <c:v>Direkta emissioner från företagsägda bilar, reservkraft och värme</c:v>
                </c:pt>
                <c:pt idx="1">
                  <c:v>Direkta emissioner av N2O</c:v>
                </c:pt>
                <c:pt idx="2">
                  <c:v>Direkta emissioner av CH4</c:v>
                </c:pt>
                <c:pt idx="3">
                  <c:v>Direkta emissioner av CO2 från respiration av kolkälla</c:v>
                </c:pt>
                <c:pt idx="4">
                  <c:v>El-, värme- och fjärrkylaförbrukning</c:v>
                </c:pt>
                <c:pt idx="5">
                  <c:v>Indirekta emissioner från företagsägda bilar och reservkraft</c:v>
                </c:pt>
                <c:pt idx="6">
                  <c:v>Indirekta utsläpp från produktion av kemikalier</c:v>
                </c:pt>
                <c:pt idx="7">
                  <c:v>Produktion av membran</c:v>
                </c:pt>
                <c:pt idx="8">
                  <c:v>Inköpta transporter, av logistikbolag</c:v>
                </c:pt>
                <c:pt idx="9">
                  <c:v>Emissioner från restprodukter</c:v>
                </c:pt>
              </c:strCache>
            </c:strRef>
          </c:cat>
          <c:val>
            <c:numRef>
              <c:f>'Resultatpresentation i tabell'!$B$14:$K$14</c:f>
              <c:numCache>
                <c:formatCode>#,##0</c:formatCode>
                <c:ptCount val="10"/>
                <c:pt idx="0">
                  <c:v>0</c:v>
                </c:pt>
                <c:pt idx="1">
                  <c:v>0</c:v>
                </c:pt>
                <c:pt idx="2">
                  <c:v>0</c:v>
                </c:pt>
                <c:pt idx="3">
                  <c:v>0</c:v>
                </c:pt>
                <c:pt idx="4">
                  <c:v>0</c:v>
                </c:pt>
                <c:pt idx="5">
                  <c:v>0</c:v>
                </c:pt>
                <c:pt idx="6">
                  <c:v>0</c:v>
                </c:pt>
                <c:pt idx="7" formatCode="General">
                  <c:v>0</c:v>
                </c:pt>
                <c:pt idx="8">
                  <c:v>0</c:v>
                </c:pt>
                <c:pt idx="9">
                  <c:v>0</c:v>
                </c:pt>
              </c:numCache>
            </c:numRef>
          </c:val>
          <c:extLst>
            <c:ext xmlns:c16="http://schemas.microsoft.com/office/drawing/2014/chart" uri="{C3380CC4-5D6E-409C-BE32-E72D297353CC}">
              <c16:uniqueId val="{00000000-14EB-4133-8583-F9090570FF69}"/>
            </c:ext>
          </c:extLst>
        </c:ser>
        <c:dLbls>
          <c:showLegendKey val="0"/>
          <c:showVal val="0"/>
          <c:showCatName val="0"/>
          <c:showSerName val="0"/>
          <c:showPercent val="0"/>
          <c:showBubbleSize val="0"/>
        </c:dLbls>
        <c:gapWidth val="219"/>
        <c:overlap val="-27"/>
        <c:axId val="686822000"/>
        <c:axId val="693117968"/>
      </c:barChart>
      <c:catAx>
        <c:axId val="68682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3117968"/>
        <c:crosses val="autoZero"/>
        <c:auto val="1"/>
        <c:lblAlgn val="ctr"/>
        <c:lblOffset val="100"/>
        <c:noMultiLvlLbl val="0"/>
      </c:catAx>
      <c:valAx>
        <c:axId val="693117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sv-SE" sz="1100"/>
                  <a:t>ton CO</a:t>
                </a:r>
                <a:r>
                  <a:rPr lang="sv-SE" sz="1100" baseline="-25000"/>
                  <a:t>2</a:t>
                </a:r>
                <a:r>
                  <a:rPr lang="sv-SE" sz="1100"/>
                  <a:t> e</a:t>
                </a:r>
              </a:p>
            </c:rich>
          </c:tx>
          <c:layout>
            <c:manualLayout>
              <c:xMode val="edge"/>
              <c:yMode val="edge"/>
              <c:x val="2.5972295129775443E-2"/>
              <c:y val="0.4532467247470868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6822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sv-SE" sz="1600"/>
              <a:t>Årlig klimatpåverkan</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5.6378900554097403E-2"/>
          <c:y val="6.9679144385026745E-2"/>
          <c:w val="0.93343591426071737"/>
          <c:h val="0.85337193144974521"/>
        </c:manualLayout>
      </c:layout>
      <c:barChart>
        <c:barDir val="col"/>
        <c:grouping val="clustered"/>
        <c:varyColors val="0"/>
        <c:ser>
          <c:idx val="0"/>
          <c:order val="0"/>
          <c:tx>
            <c:strRef>
              <c:f>'Graf - Nyttor'!$C$3</c:f>
              <c:strCache>
                <c:ptCount val="1"/>
                <c:pt idx="0">
                  <c:v>Potentiella klimatnyttor</c:v>
                </c:pt>
              </c:strCache>
            </c:strRef>
          </c:tx>
          <c:spPr>
            <a:solidFill>
              <a:schemeClr val="accent1"/>
            </a:solidFill>
            <a:ln>
              <a:noFill/>
            </a:ln>
            <a:effectLst/>
          </c:spPr>
          <c:invertIfNegative val="0"/>
          <c:dPt>
            <c:idx val="0"/>
            <c:invertIfNegative val="0"/>
            <c:bubble3D val="0"/>
            <c:spPr>
              <a:solidFill>
                <a:srgbClr val="8F9E78"/>
              </a:solidFill>
              <a:ln>
                <a:noFill/>
              </a:ln>
              <a:effectLst/>
            </c:spPr>
            <c:extLst>
              <c:ext xmlns:c16="http://schemas.microsoft.com/office/drawing/2014/chart" uri="{C3380CC4-5D6E-409C-BE32-E72D297353CC}">
                <c16:uniqueId val="{00000001-E03C-4EEA-9403-B8B7421589C5}"/>
              </c:ext>
            </c:extLst>
          </c:dPt>
          <c:dPt>
            <c:idx val="1"/>
            <c:invertIfNegative val="0"/>
            <c:bubble3D val="0"/>
            <c:spPr>
              <a:solidFill>
                <a:srgbClr val="EAC971"/>
              </a:solidFill>
              <a:ln>
                <a:noFill/>
              </a:ln>
              <a:effectLst/>
            </c:spPr>
            <c:extLst>
              <c:ext xmlns:c16="http://schemas.microsoft.com/office/drawing/2014/chart" uri="{C3380CC4-5D6E-409C-BE32-E72D297353CC}">
                <c16:uniqueId val="{00000003-E03C-4EEA-9403-B8B7421589C5}"/>
              </c:ext>
            </c:extLst>
          </c:dPt>
          <c:dPt>
            <c:idx val="2"/>
            <c:invertIfNegative val="0"/>
            <c:bubble3D val="0"/>
            <c:spPr>
              <a:solidFill>
                <a:srgbClr val="417B95"/>
              </a:solidFill>
              <a:ln>
                <a:noFill/>
              </a:ln>
              <a:effectLst/>
            </c:spPr>
            <c:extLst>
              <c:ext xmlns:c16="http://schemas.microsoft.com/office/drawing/2014/chart" uri="{C3380CC4-5D6E-409C-BE32-E72D297353CC}">
                <c16:uniqueId val="{00000005-E03C-4EEA-9403-B8B7421589C5}"/>
              </c:ext>
            </c:extLst>
          </c:dPt>
          <c:dPt>
            <c:idx val="3"/>
            <c:invertIfNegative val="0"/>
            <c:bubble3D val="0"/>
            <c:spPr>
              <a:pattFill prst="dkDnDiag">
                <a:fgClr>
                  <a:schemeClr val="bg1">
                    <a:lumMod val="50000"/>
                  </a:schemeClr>
                </a:fgClr>
                <a:bgClr>
                  <a:schemeClr val="bg1"/>
                </a:bgClr>
              </a:pattFill>
              <a:ln>
                <a:noFill/>
              </a:ln>
              <a:effectLst/>
            </c:spPr>
            <c:extLst>
              <c:ext xmlns:c16="http://schemas.microsoft.com/office/drawing/2014/chart" uri="{C3380CC4-5D6E-409C-BE32-E72D297353CC}">
                <c16:uniqueId val="{00000007-E03C-4EEA-9403-B8B7421589C5}"/>
              </c:ext>
            </c:extLst>
          </c:dPt>
          <c:dPt>
            <c:idx val="4"/>
            <c:invertIfNegative val="0"/>
            <c:bubble3D val="0"/>
            <c:spPr>
              <a:pattFill prst="dkDnDiag">
                <a:fgClr>
                  <a:schemeClr val="bg1">
                    <a:lumMod val="50000"/>
                  </a:schemeClr>
                </a:fgClr>
                <a:bgClr>
                  <a:schemeClr val="bg1"/>
                </a:bgClr>
              </a:pattFill>
              <a:ln>
                <a:noFill/>
              </a:ln>
              <a:effectLst/>
            </c:spPr>
            <c:extLst>
              <c:ext xmlns:c16="http://schemas.microsoft.com/office/drawing/2014/chart" uri="{C3380CC4-5D6E-409C-BE32-E72D297353CC}">
                <c16:uniqueId val="{00000009-E03C-4EEA-9403-B8B7421589C5}"/>
              </c:ext>
            </c:extLst>
          </c:dPt>
          <c:dPt>
            <c:idx val="5"/>
            <c:invertIfNegative val="0"/>
            <c:bubble3D val="0"/>
            <c:spPr>
              <a:pattFill prst="dkDnDiag">
                <a:fgClr>
                  <a:schemeClr val="bg1">
                    <a:lumMod val="50000"/>
                  </a:schemeClr>
                </a:fgClr>
                <a:bgClr>
                  <a:schemeClr val="bg1"/>
                </a:bgClr>
              </a:pattFill>
              <a:ln>
                <a:noFill/>
              </a:ln>
              <a:effectLst/>
            </c:spPr>
            <c:extLst>
              <c:ext xmlns:c16="http://schemas.microsoft.com/office/drawing/2014/chart" uri="{C3380CC4-5D6E-409C-BE32-E72D297353CC}">
                <c16:uniqueId val="{0000000B-E03C-4EEA-9403-B8B7421589C5}"/>
              </c:ext>
            </c:extLst>
          </c:dPt>
          <c:dPt>
            <c:idx val="6"/>
            <c:invertIfNegative val="0"/>
            <c:bubble3D val="0"/>
            <c:spPr>
              <a:pattFill prst="dkDnDiag">
                <a:fgClr>
                  <a:schemeClr val="bg1">
                    <a:lumMod val="50000"/>
                  </a:schemeClr>
                </a:fgClr>
                <a:bgClr>
                  <a:schemeClr val="bg1"/>
                </a:bgClr>
              </a:pattFill>
              <a:ln>
                <a:noFill/>
              </a:ln>
              <a:effectLst/>
            </c:spPr>
            <c:extLst>
              <c:ext xmlns:c16="http://schemas.microsoft.com/office/drawing/2014/chart" uri="{C3380CC4-5D6E-409C-BE32-E72D297353CC}">
                <c16:uniqueId val="{0000000C-B390-4C32-8F9A-E1C40FEFE6A7}"/>
              </c:ext>
            </c:extLst>
          </c:dPt>
          <c:cat>
            <c:strRef>
              <c:f>'Graf - Nyttor'!$B$4:$B$10</c:f>
              <c:strCache>
                <c:ptCount val="7"/>
                <c:pt idx="0">
                  <c:v>Scope 1</c:v>
                </c:pt>
                <c:pt idx="1">
                  <c:v>Scope 2</c:v>
                </c:pt>
                <c:pt idx="2">
                  <c:v>Scope 3</c:v>
                </c:pt>
                <c:pt idx="3">
                  <c:v>Fordonsbränsle</c:v>
                </c:pt>
                <c:pt idx="4">
                  <c:v>El och värme</c:v>
                </c:pt>
                <c:pt idx="5">
                  <c:v>Avloppsslam</c:v>
                </c:pt>
                <c:pt idx="6">
                  <c:v>Kalkpellets</c:v>
                </c:pt>
              </c:strCache>
            </c:strRef>
          </c:cat>
          <c:val>
            <c:numRef>
              <c:f>'Graf - Nyttor'!$C$4:$C$10</c:f>
              <c:numCache>
                <c:formatCode>#,##0</c:formatCode>
                <c:ptCount val="7"/>
                <c:pt idx="0">
                  <c:v>0</c:v>
                </c:pt>
                <c:pt idx="1">
                  <c:v>0</c:v>
                </c:pt>
                <c:pt idx="2">
                  <c:v>0</c:v>
                </c:pt>
                <c:pt idx="3" formatCode="General">
                  <c:v>0</c:v>
                </c:pt>
                <c:pt idx="4" formatCode="General">
                  <c:v>0</c:v>
                </c:pt>
                <c:pt idx="5">
                  <c:v>0</c:v>
                </c:pt>
                <c:pt idx="6" formatCode="General">
                  <c:v>0</c:v>
                </c:pt>
              </c:numCache>
            </c:numRef>
          </c:val>
          <c:extLst>
            <c:ext xmlns:c16="http://schemas.microsoft.com/office/drawing/2014/chart" uri="{C3380CC4-5D6E-409C-BE32-E72D297353CC}">
              <c16:uniqueId val="{00000012-E03C-4EEA-9403-B8B7421589C5}"/>
            </c:ext>
          </c:extLst>
        </c:ser>
        <c:dLbls>
          <c:showLegendKey val="0"/>
          <c:showVal val="0"/>
          <c:showCatName val="0"/>
          <c:showSerName val="0"/>
          <c:showPercent val="0"/>
          <c:showBubbleSize val="0"/>
        </c:dLbls>
        <c:gapWidth val="219"/>
        <c:overlap val="-27"/>
        <c:axId val="686822000"/>
        <c:axId val="693117968"/>
      </c:barChart>
      <c:catAx>
        <c:axId val="6868220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v-SE"/>
          </a:p>
        </c:txPr>
        <c:crossAx val="693117968"/>
        <c:crosses val="autoZero"/>
        <c:auto val="1"/>
        <c:lblAlgn val="ctr"/>
        <c:lblOffset val="100"/>
        <c:noMultiLvlLbl val="0"/>
      </c:catAx>
      <c:valAx>
        <c:axId val="693117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sv-SE" sz="1100"/>
                  <a:t>ton CO</a:t>
                </a:r>
                <a:r>
                  <a:rPr lang="sv-SE" sz="1100" baseline="-25000"/>
                  <a:t>2</a:t>
                </a:r>
                <a:r>
                  <a:rPr lang="sv-SE" sz="1100"/>
                  <a:t> e</a:t>
                </a:r>
              </a:p>
            </c:rich>
          </c:tx>
          <c:layout>
            <c:manualLayout>
              <c:xMode val="edge"/>
              <c:yMode val="edge"/>
              <c:x val="2.5972295129775443E-2"/>
              <c:y val="0.4532467247470868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6822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oneCellAnchor>
    <xdr:from>
      <xdr:col>1</xdr:col>
      <xdr:colOff>706846</xdr:colOff>
      <xdr:row>10</xdr:row>
      <xdr:rowOff>236768</xdr:rowOff>
    </xdr:from>
    <xdr:ext cx="779255" cy="792142"/>
    <xdr:pic>
      <xdr:nvPicPr>
        <xdr:cNvPr id="2" name="Graphic 1" descr="Database outline">
          <a:extLst>
            <a:ext uri="{FF2B5EF4-FFF2-40B4-BE49-F238E27FC236}">
              <a16:creationId xmlns:a16="http://schemas.microsoft.com/office/drawing/2014/main" id="{416A1D52-B83D-4E7E-8ECB-F28467D52E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7105" y="3083320"/>
          <a:ext cx="779255" cy="792142"/>
        </a:xfrm>
        <a:prstGeom prst="rect">
          <a:avLst/>
        </a:prstGeom>
      </xdr:spPr>
    </xdr:pic>
    <xdr:clientData/>
  </xdr:oneCellAnchor>
  <xdr:oneCellAnchor>
    <xdr:from>
      <xdr:col>1</xdr:col>
      <xdr:colOff>761588</xdr:colOff>
      <xdr:row>14</xdr:row>
      <xdr:rowOff>192975</xdr:rowOff>
    </xdr:from>
    <xdr:ext cx="737459" cy="748329"/>
    <xdr:pic>
      <xdr:nvPicPr>
        <xdr:cNvPr id="3" name="Graphic 2" descr="Downward trend graph outline">
          <a:extLst>
            <a:ext uri="{FF2B5EF4-FFF2-40B4-BE49-F238E27FC236}">
              <a16:creationId xmlns:a16="http://schemas.microsoft.com/office/drawing/2014/main" id="{C505A793-0546-4C68-9FAA-C93E7185CD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1847" y="4572285"/>
          <a:ext cx="737459" cy="748329"/>
        </a:xfrm>
        <a:prstGeom prst="rect">
          <a:avLst/>
        </a:prstGeom>
      </xdr:spPr>
    </xdr:pic>
    <xdr:clientData/>
  </xdr:oneCellAnchor>
  <xdr:oneCellAnchor>
    <xdr:from>
      <xdr:col>1</xdr:col>
      <xdr:colOff>794433</xdr:colOff>
      <xdr:row>18</xdr:row>
      <xdr:rowOff>160130</xdr:rowOff>
    </xdr:from>
    <xdr:ext cx="760095" cy="770965"/>
    <xdr:pic>
      <xdr:nvPicPr>
        <xdr:cNvPr id="4" name="Graphic 3" descr="Document outline">
          <a:extLst>
            <a:ext uri="{FF2B5EF4-FFF2-40B4-BE49-F238E27FC236}">
              <a16:creationId xmlns:a16="http://schemas.microsoft.com/office/drawing/2014/main" id="{2E73B670-C136-47D5-BFA4-F22A74945AE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4692" y="6072199"/>
          <a:ext cx="760095" cy="770965"/>
        </a:xfrm>
        <a:prstGeom prst="rect">
          <a:avLst/>
        </a:prstGeom>
      </xdr:spPr>
    </xdr:pic>
    <xdr:clientData/>
  </xdr:oneCellAnchor>
  <xdr:twoCellAnchor editAs="oneCell">
    <xdr:from>
      <xdr:col>0</xdr:col>
      <xdr:colOff>0</xdr:colOff>
      <xdr:row>0</xdr:row>
      <xdr:rowOff>0</xdr:rowOff>
    </xdr:from>
    <xdr:to>
      <xdr:col>1</xdr:col>
      <xdr:colOff>1323557</xdr:colOff>
      <xdr:row>4</xdr:row>
      <xdr:rowOff>71813</xdr:rowOff>
    </xdr:to>
    <xdr:pic>
      <xdr:nvPicPr>
        <xdr:cNvPr id="6" name="Picture 5">
          <a:extLst>
            <a:ext uri="{FF2B5EF4-FFF2-40B4-BE49-F238E27FC236}">
              <a16:creationId xmlns:a16="http://schemas.microsoft.com/office/drawing/2014/main" id="{C422F365-4D22-41DB-9601-BDB6D95B2E43}"/>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8528"/>
        <a:stretch/>
      </xdr:blipFill>
      <xdr:spPr>
        <a:xfrm>
          <a:off x="0" y="0"/>
          <a:ext cx="1913659" cy="8312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2</xdr:col>
      <xdr:colOff>723601</xdr:colOff>
      <xdr:row>4</xdr:row>
      <xdr:rowOff>71862</xdr:rowOff>
    </xdr:to>
    <xdr:pic>
      <xdr:nvPicPr>
        <xdr:cNvPr id="2" name="Picture 1">
          <a:extLst>
            <a:ext uri="{FF2B5EF4-FFF2-40B4-BE49-F238E27FC236}">
              <a16:creationId xmlns:a16="http://schemas.microsoft.com/office/drawing/2014/main" id="{75495EBA-679A-46C5-95CF-40D4D144E6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1906" y="0"/>
          <a:ext cx="1919518" cy="8338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1340889</xdr:colOff>
      <xdr:row>3</xdr:row>
      <xdr:rowOff>0</xdr:rowOff>
    </xdr:to>
    <xdr:pic>
      <xdr:nvPicPr>
        <xdr:cNvPr id="2" name="Picture 1">
          <a:extLst>
            <a:ext uri="{FF2B5EF4-FFF2-40B4-BE49-F238E27FC236}">
              <a16:creationId xmlns:a16="http://schemas.microsoft.com/office/drawing/2014/main" id="{21D83971-4264-40F0-97DF-E0654C7308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04596"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752475</xdr:colOff>
      <xdr:row>7</xdr:row>
      <xdr:rowOff>333375</xdr:rowOff>
    </xdr:to>
    <xdr:pic>
      <xdr:nvPicPr>
        <xdr:cNvPr id="3" name="Graphic 2" descr="Dump truck outline">
          <a:extLst>
            <a:ext uri="{FF2B5EF4-FFF2-40B4-BE49-F238E27FC236}">
              <a16:creationId xmlns:a16="http://schemas.microsoft.com/office/drawing/2014/main" id="{B3390E2C-D712-44FF-92D4-2B1D4C8A4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0550" y="2095500"/>
          <a:ext cx="752475" cy="752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1368194</xdr:colOff>
      <xdr:row>3</xdr:row>
      <xdr:rowOff>0</xdr:rowOff>
    </xdr:to>
    <xdr:pic>
      <xdr:nvPicPr>
        <xdr:cNvPr id="3" name="Picture 2">
          <a:extLst>
            <a:ext uri="{FF2B5EF4-FFF2-40B4-BE49-F238E27FC236}">
              <a16:creationId xmlns:a16="http://schemas.microsoft.com/office/drawing/2014/main" id="{C128DBF9-B429-4313-82D8-A146CAAEE5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13659" cy="8312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1354859</xdr:colOff>
      <xdr:row>3</xdr:row>
      <xdr:rowOff>0</xdr:rowOff>
    </xdr:to>
    <xdr:pic>
      <xdr:nvPicPr>
        <xdr:cNvPr id="2" name="Picture 1">
          <a:extLst>
            <a:ext uri="{FF2B5EF4-FFF2-40B4-BE49-F238E27FC236}">
              <a16:creationId xmlns:a16="http://schemas.microsoft.com/office/drawing/2014/main" id="{2AB934A6-672E-4399-B7CA-2DAA44D476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24281" cy="838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1351049</xdr:colOff>
      <xdr:row>3</xdr:row>
      <xdr:rowOff>0</xdr:rowOff>
    </xdr:to>
    <xdr:pic>
      <xdr:nvPicPr>
        <xdr:cNvPr id="2" name="Picture 1">
          <a:extLst>
            <a:ext uri="{FF2B5EF4-FFF2-40B4-BE49-F238E27FC236}">
              <a16:creationId xmlns:a16="http://schemas.microsoft.com/office/drawing/2014/main" id="{A85463D7-2FE9-4D68-B76F-1A4A4993B9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18566" cy="838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1363749</xdr:colOff>
      <xdr:row>3</xdr:row>
      <xdr:rowOff>0</xdr:rowOff>
    </xdr:to>
    <xdr:pic>
      <xdr:nvPicPr>
        <xdr:cNvPr id="2" name="Picture 1">
          <a:extLst>
            <a:ext uri="{FF2B5EF4-FFF2-40B4-BE49-F238E27FC236}">
              <a16:creationId xmlns:a16="http://schemas.microsoft.com/office/drawing/2014/main" id="{8EEF2031-5E64-48DE-80E8-63995659BE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15391" cy="838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1340889</xdr:colOff>
      <xdr:row>3</xdr:row>
      <xdr:rowOff>0</xdr:rowOff>
    </xdr:to>
    <xdr:pic>
      <xdr:nvPicPr>
        <xdr:cNvPr id="2" name="Picture 1">
          <a:extLst>
            <a:ext uri="{FF2B5EF4-FFF2-40B4-BE49-F238E27FC236}">
              <a16:creationId xmlns:a16="http://schemas.microsoft.com/office/drawing/2014/main" id="{FE5377DA-EFB1-4E24-980E-9E307BDE89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15391" cy="838200"/>
        </a:xfrm>
        <a:prstGeom prst="rect">
          <a:avLst/>
        </a:prstGeom>
      </xdr:spPr>
    </xdr:pic>
    <xdr:clientData/>
  </xdr:twoCellAnchor>
  <xdr:twoCellAnchor>
    <xdr:from>
      <xdr:col>1</xdr:col>
      <xdr:colOff>0</xdr:colOff>
      <xdr:row>4</xdr:row>
      <xdr:rowOff>0</xdr:rowOff>
    </xdr:from>
    <xdr:to>
      <xdr:col>9</xdr:col>
      <xdr:colOff>0</xdr:colOff>
      <xdr:row>22</xdr:row>
      <xdr:rowOff>0</xdr:rowOff>
    </xdr:to>
    <xdr:graphicFrame macro="">
      <xdr:nvGraphicFramePr>
        <xdr:cNvPr id="5" name="Chart 4">
          <a:extLst>
            <a:ext uri="{FF2B5EF4-FFF2-40B4-BE49-F238E27FC236}">
              <a16:creationId xmlns:a16="http://schemas.microsoft.com/office/drawing/2014/main" id="{B34EC2F4-1F02-4C33-B8CE-BDD35CB56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oneCellAnchor>
    <xdr:from>
      <xdr:col>8</xdr:col>
      <xdr:colOff>209550</xdr:colOff>
      <xdr:row>1</xdr:row>
      <xdr:rowOff>352425</xdr:rowOff>
    </xdr:from>
    <xdr:ext cx="1356975" cy="749821"/>
    <xdr:sp macro="" textlink="">
      <xdr:nvSpPr>
        <xdr:cNvPr id="3" name="TextBox 2">
          <a:extLst>
            <a:ext uri="{FF2B5EF4-FFF2-40B4-BE49-F238E27FC236}">
              <a16:creationId xmlns:a16="http://schemas.microsoft.com/office/drawing/2014/main" id="{093F7DC6-6F8A-48FE-9A76-888FA4E13E8C}"/>
            </a:ext>
          </a:extLst>
        </xdr:cNvPr>
        <xdr:cNvSpPr txBox="1"/>
      </xdr:nvSpPr>
      <xdr:spPr>
        <a:xfrm>
          <a:off x="12792075" y="352425"/>
          <a:ext cx="1356975" cy="749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400" b="1">
              <a:solidFill>
                <a:srgbClr val="8F9E78"/>
              </a:solidFill>
            </a:rPr>
            <a:t>Grönt</a:t>
          </a:r>
          <a:r>
            <a:rPr lang="sv-SE" sz="1400"/>
            <a:t> = Scope 1</a:t>
          </a:r>
        </a:p>
        <a:p>
          <a:r>
            <a:rPr lang="sv-SE" sz="1400" b="1">
              <a:solidFill>
                <a:schemeClr val="accent4"/>
              </a:solidFill>
            </a:rPr>
            <a:t>Gult</a:t>
          </a:r>
          <a:r>
            <a:rPr lang="sv-SE" sz="1400"/>
            <a:t> = Scope 2</a:t>
          </a:r>
        </a:p>
        <a:p>
          <a:r>
            <a:rPr lang="sv-SE" sz="1400" b="1">
              <a:solidFill>
                <a:srgbClr val="417B95"/>
              </a:solidFill>
            </a:rPr>
            <a:t>Blått</a:t>
          </a:r>
          <a:r>
            <a:rPr lang="sv-SE" sz="1400"/>
            <a:t> = Scope 3</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1340889</xdr:colOff>
      <xdr:row>3</xdr:row>
      <xdr:rowOff>0</xdr:rowOff>
    </xdr:to>
    <xdr:pic>
      <xdr:nvPicPr>
        <xdr:cNvPr id="2" name="Picture 1">
          <a:extLst>
            <a:ext uri="{FF2B5EF4-FFF2-40B4-BE49-F238E27FC236}">
              <a16:creationId xmlns:a16="http://schemas.microsoft.com/office/drawing/2014/main" id="{861DA39F-F279-454A-91A8-04CCD53367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04596" cy="838200"/>
        </a:xfrm>
        <a:prstGeom prst="rect">
          <a:avLst/>
        </a:prstGeom>
      </xdr:spPr>
    </xdr:pic>
    <xdr:clientData/>
  </xdr:twoCellAnchor>
  <xdr:twoCellAnchor>
    <xdr:from>
      <xdr:col>1</xdr:col>
      <xdr:colOff>0</xdr:colOff>
      <xdr:row>4</xdr:row>
      <xdr:rowOff>0</xdr:rowOff>
    </xdr:from>
    <xdr:to>
      <xdr:col>9</xdr:col>
      <xdr:colOff>0</xdr:colOff>
      <xdr:row>22</xdr:row>
      <xdr:rowOff>0</xdr:rowOff>
    </xdr:to>
    <xdr:graphicFrame macro="">
      <xdr:nvGraphicFramePr>
        <xdr:cNvPr id="3" name="Chart 2">
          <a:extLst>
            <a:ext uri="{FF2B5EF4-FFF2-40B4-BE49-F238E27FC236}">
              <a16:creationId xmlns:a16="http://schemas.microsoft.com/office/drawing/2014/main" id="{68C82F36-AF38-4800-AD9E-D7E607BEF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oneCellAnchor>
    <xdr:from>
      <xdr:col>7</xdr:col>
      <xdr:colOff>1619250</xdr:colOff>
      <xdr:row>1</xdr:row>
      <xdr:rowOff>179917</xdr:rowOff>
    </xdr:from>
    <xdr:ext cx="2197333" cy="968983"/>
    <xdr:sp macro="" textlink="">
      <xdr:nvSpPr>
        <xdr:cNvPr id="4" name="TextBox 3">
          <a:extLst>
            <a:ext uri="{FF2B5EF4-FFF2-40B4-BE49-F238E27FC236}">
              <a16:creationId xmlns:a16="http://schemas.microsoft.com/office/drawing/2014/main" id="{32D82528-362D-4A1E-82C0-74B7174D6D98}"/>
            </a:ext>
          </a:extLst>
        </xdr:cNvPr>
        <xdr:cNvSpPr txBox="1"/>
      </xdr:nvSpPr>
      <xdr:spPr>
        <a:xfrm>
          <a:off x="12488333" y="179917"/>
          <a:ext cx="2197333" cy="968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400" b="1">
              <a:solidFill>
                <a:srgbClr val="8F9E78"/>
              </a:solidFill>
            </a:rPr>
            <a:t>Grönt</a:t>
          </a:r>
          <a:r>
            <a:rPr lang="sv-SE" sz="1400"/>
            <a:t> = Scope 1</a:t>
          </a:r>
        </a:p>
        <a:p>
          <a:r>
            <a:rPr lang="sv-SE" sz="1400" b="1">
              <a:solidFill>
                <a:schemeClr val="accent4"/>
              </a:solidFill>
            </a:rPr>
            <a:t>Gult</a:t>
          </a:r>
          <a:r>
            <a:rPr lang="sv-SE" sz="1400"/>
            <a:t> = Scope 2</a:t>
          </a:r>
        </a:p>
        <a:p>
          <a:r>
            <a:rPr lang="sv-SE" sz="1400" b="1">
              <a:solidFill>
                <a:srgbClr val="417B95"/>
              </a:solidFill>
            </a:rPr>
            <a:t>Blått</a:t>
          </a:r>
          <a:r>
            <a:rPr lang="sv-SE" sz="1400"/>
            <a:t> = Scope 3</a:t>
          </a:r>
        </a:p>
        <a:p>
          <a:r>
            <a:rPr lang="sv-SE" sz="1400" b="1">
              <a:solidFill>
                <a:schemeClr val="bg1">
                  <a:lumMod val="50000"/>
                </a:schemeClr>
              </a:solidFill>
            </a:rPr>
            <a:t>Randigt</a:t>
          </a:r>
          <a:r>
            <a:rPr lang="sv-SE" sz="1400"/>
            <a:t> = Potentiella nyttor</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1360574</xdr:colOff>
      <xdr:row>1</xdr:row>
      <xdr:rowOff>333799</xdr:rowOff>
    </xdr:to>
    <xdr:pic>
      <xdr:nvPicPr>
        <xdr:cNvPr id="2" name="Picture 1">
          <a:extLst>
            <a:ext uri="{FF2B5EF4-FFF2-40B4-BE49-F238E27FC236}">
              <a16:creationId xmlns:a16="http://schemas.microsoft.com/office/drawing/2014/main" id="{7F3D2526-F70A-47D7-8C02-2AE5F3E7B3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528"/>
        <a:stretch/>
      </xdr:blipFill>
      <xdr:spPr>
        <a:xfrm>
          <a:off x="17318" y="0"/>
          <a:ext cx="1937616" cy="838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noopy\toc$\LUFTFART\Luftfart2004\Paxkm%2092-02%20fr&#229;n%20Micha&#235;l%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Finance\Common\AARO%20Templates\Business%20Control\BFC%20&amp;%20RF%20output%20files\AARO_Operational%20KPIs_BFC%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lygplats"/>
      <sheetName val="LFV Def"/>
      <sheetName val="02 ca"/>
      <sheetName val="01 ca"/>
      <sheetName val="00 ca"/>
      <sheetName val="99 ca"/>
      <sheetName val="98 ca"/>
      <sheetName val="97 ca"/>
      <sheetName val="96 ca"/>
      <sheetName val="95 ca"/>
      <sheetName val="94 ca"/>
      <sheetName val="93 ca"/>
      <sheetName val="92 ca"/>
      <sheetName val="00 in"/>
      <sheetName val="99 in"/>
      <sheetName val="98 in"/>
      <sheetName val="97 in"/>
      <sheetName val="96 in"/>
      <sheetName val="95 in"/>
      <sheetName val="94 in"/>
      <sheetName val="93 in"/>
      <sheetName val="92 in"/>
    </sheetNames>
    <sheetDataSet>
      <sheetData sheetId="0" refreshError="1"/>
      <sheetData sheetId="1" refreshError="1">
        <row r="1">
          <cell r="A1" t="str">
            <v>Flygplats</v>
          </cell>
          <cell r="B1" t="str">
            <v>ICAO</v>
          </cell>
          <cell r="C1" t="str">
            <v>IATA</v>
          </cell>
          <cell r="D1" t="str">
            <v>Longitud</v>
          </cell>
          <cell r="E1" t="str">
            <v>Latitud</v>
          </cell>
          <cell r="F1" t="str">
            <v>Longitud</v>
          </cell>
          <cell r="G1" t="str">
            <v>Latitud</v>
          </cell>
          <cell r="H1" t="str">
            <v>Flygplats</v>
          </cell>
        </row>
        <row r="2">
          <cell r="A2" t="str">
            <v>ARVIDSJAUR</v>
          </cell>
          <cell r="B2" t="str">
            <v>ESNX</v>
          </cell>
          <cell r="C2" t="str">
            <v>AJR</v>
          </cell>
          <cell r="D2">
            <v>653525</v>
          </cell>
          <cell r="E2">
            <v>191655</v>
          </cell>
          <cell r="F2">
            <v>65.587499999999991</v>
          </cell>
          <cell r="G2">
            <v>19.275833333333331</v>
          </cell>
          <cell r="H2" t="str">
            <v>Arvidsjaur</v>
          </cell>
        </row>
        <row r="3">
          <cell r="A3" t="str">
            <v>ARVIKA</v>
          </cell>
          <cell r="B3" t="str">
            <v>ESKV</v>
          </cell>
          <cell r="D3">
            <v>594030</v>
          </cell>
          <cell r="E3">
            <v>123822</v>
          </cell>
          <cell r="F3">
            <v>59.671666666666667</v>
          </cell>
          <cell r="G3">
            <v>12.636999999999999</v>
          </cell>
          <cell r="H3" t="str">
            <v>Arvika</v>
          </cell>
        </row>
        <row r="4">
          <cell r="A4" t="str">
            <v>BERGA</v>
          </cell>
          <cell r="B4" t="str">
            <v>ESQP</v>
          </cell>
          <cell r="D4">
            <v>590413</v>
          </cell>
          <cell r="E4">
            <v>180701</v>
          </cell>
          <cell r="F4">
            <v>59.068833333333338</v>
          </cell>
          <cell r="G4">
            <v>18.116833333333332</v>
          </cell>
          <cell r="H4" t="str">
            <v>Berga</v>
          </cell>
        </row>
        <row r="5">
          <cell r="A5" t="str">
            <v>BODEN</v>
          </cell>
          <cell r="B5" t="str">
            <v>ESPG</v>
          </cell>
          <cell r="D5">
            <v>654837</v>
          </cell>
          <cell r="E5">
            <v>214129</v>
          </cell>
          <cell r="F5">
            <v>65.80616666666667</v>
          </cell>
          <cell r="G5">
            <v>21.688166666666667</v>
          </cell>
          <cell r="H5" t="str">
            <v>Boden</v>
          </cell>
        </row>
        <row r="6">
          <cell r="A6" t="str">
            <v>BORLÄNGE</v>
          </cell>
          <cell r="B6" t="str">
            <v>ESSD</v>
          </cell>
          <cell r="C6" t="str">
            <v>BLE</v>
          </cell>
          <cell r="D6">
            <v>602520</v>
          </cell>
          <cell r="E6">
            <v>153054</v>
          </cell>
          <cell r="F6">
            <v>60.419999999999995</v>
          </cell>
          <cell r="G6">
            <v>15.509</v>
          </cell>
          <cell r="H6" t="str">
            <v>Borlänge</v>
          </cell>
        </row>
        <row r="7">
          <cell r="A7" t="str">
            <v>ESKILSTUNA</v>
          </cell>
          <cell r="B7" t="str">
            <v>ESSU</v>
          </cell>
          <cell r="D7">
            <v>592108</v>
          </cell>
          <cell r="E7">
            <v>164230</v>
          </cell>
          <cell r="F7">
            <v>59.351333333333336</v>
          </cell>
          <cell r="G7">
            <v>16.704999999999998</v>
          </cell>
          <cell r="H7" t="str">
            <v>Eskilstuna</v>
          </cell>
        </row>
        <row r="8">
          <cell r="A8" t="str">
            <v>FALKÖPING</v>
          </cell>
          <cell r="B8" t="str">
            <v>ESGK</v>
          </cell>
          <cell r="D8">
            <v>581012</v>
          </cell>
          <cell r="E8">
            <v>133516</v>
          </cell>
          <cell r="F8">
            <v>58.168666666666667</v>
          </cell>
          <cell r="G8">
            <v>13.586</v>
          </cell>
          <cell r="H8" t="str">
            <v>Falköping</v>
          </cell>
        </row>
        <row r="9">
          <cell r="A9" t="str">
            <v>GÄLLIVARE</v>
          </cell>
          <cell r="B9" t="str">
            <v>ESNG</v>
          </cell>
          <cell r="C9" t="str">
            <v>GEV</v>
          </cell>
          <cell r="D9">
            <v>670759</v>
          </cell>
          <cell r="E9">
            <v>204844</v>
          </cell>
          <cell r="F9">
            <v>67.126499999999993</v>
          </cell>
          <cell r="G9">
            <v>20.807333333333332</v>
          </cell>
          <cell r="H9" t="str">
            <v>Gällivare</v>
          </cell>
        </row>
        <row r="10">
          <cell r="A10" t="str">
            <v>GÄVLE/SANDVIKEN</v>
          </cell>
          <cell r="B10" t="str">
            <v>ESSK</v>
          </cell>
          <cell r="C10" t="str">
            <v>GVX</v>
          </cell>
          <cell r="D10">
            <v>603536</v>
          </cell>
          <cell r="E10">
            <v>165705</v>
          </cell>
          <cell r="F10">
            <v>60.589333333333336</v>
          </cell>
          <cell r="G10">
            <v>16.950833333333332</v>
          </cell>
          <cell r="H10" t="str">
            <v>Gävle-Sandviken</v>
          </cell>
        </row>
        <row r="11">
          <cell r="A11" t="str">
            <v>GÖTEBORG-LANDVETTER</v>
          </cell>
          <cell r="B11" t="str">
            <v>ESGG</v>
          </cell>
          <cell r="C11" t="str">
            <v>GOT</v>
          </cell>
          <cell r="D11">
            <v>573936</v>
          </cell>
          <cell r="E11">
            <v>121728</v>
          </cell>
          <cell r="F11">
            <v>57.655999999999999</v>
          </cell>
          <cell r="G11">
            <v>12.288</v>
          </cell>
          <cell r="H11" t="str">
            <v>Göteborg/Landvetter</v>
          </cell>
        </row>
        <row r="12">
          <cell r="A12" t="str">
            <v>GÖTEBORG/SÄVE</v>
          </cell>
          <cell r="B12" t="str">
            <v>ESGP</v>
          </cell>
          <cell r="D12">
            <v>574632</v>
          </cell>
          <cell r="E12">
            <v>115214</v>
          </cell>
          <cell r="F12">
            <v>57.771999999999998</v>
          </cell>
          <cell r="G12">
            <v>11.869</v>
          </cell>
          <cell r="H12" t="str">
            <v>Göteborg/Säve</v>
          </cell>
        </row>
        <row r="13">
          <cell r="A13" t="str">
            <v>HAGFORS</v>
          </cell>
          <cell r="B13" t="str">
            <v>ESOH</v>
          </cell>
          <cell r="C13" t="str">
            <v>HFS</v>
          </cell>
          <cell r="D13">
            <v>600116</v>
          </cell>
          <cell r="E13">
            <v>133444</v>
          </cell>
          <cell r="F13">
            <v>60.019333333333336</v>
          </cell>
          <cell r="G13">
            <v>13.574</v>
          </cell>
          <cell r="H13" t="str">
            <v>Hagfors</v>
          </cell>
        </row>
        <row r="14">
          <cell r="A14" t="str">
            <v>HALMSTAD</v>
          </cell>
          <cell r="B14" t="str">
            <v>ESMT</v>
          </cell>
          <cell r="C14" t="str">
            <v>HAD</v>
          </cell>
          <cell r="D14">
            <v>564127</v>
          </cell>
          <cell r="E14">
            <v>124912</v>
          </cell>
          <cell r="F14">
            <v>56.68783333333333</v>
          </cell>
          <cell r="G14">
            <v>12.818666666666667</v>
          </cell>
          <cell r="H14" t="str">
            <v>Halmstad</v>
          </cell>
        </row>
        <row r="15">
          <cell r="A15" t="str">
            <v>HEMAVAN</v>
          </cell>
          <cell r="B15" t="str">
            <v>ESUT</v>
          </cell>
          <cell r="C15" t="str">
            <v>HMV</v>
          </cell>
          <cell r="D15">
            <v>654822</v>
          </cell>
          <cell r="E15">
            <v>150458</v>
          </cell>
          <cell r="F15">
            <v>65.803666666666658</v>
          </cell>
          <cell r="G15">
            <v>15.076333333333332</v>
          </cell>
          <cell r="H15" t="str">
            <v>Hemavan</v>
          </cell>
        </row>
        <row r="16">
          <cell r="A16" t="str">
            <v>HUDIKSVALL</v>
          </cell>
          <cell r="B16" t="str">
            <v>ESNH</v>
          </cell>
          <cell r="C16" t="str">
            <v>HUV</v>
          </cell>
          <cell r="D16">
            <v>614606</v>
          </cell>
          <cell r="E16">
            <v>170450</v>
          </cell>
          <cell r="F16">
            <v>61.767666666666663</v>
          </cell>
          <cell r="G16">
            <v>17.074999999999999</v>
          </cell>
          <cell r="H16" t="str">
            <v>Hudiksvall</v>
          </cell>
        </row>
        <row r="17">
          <cell r="A17" t="str">
            <v>HULTSFRED</v>
          </cell>
          <cell r="B17" t="str">
            <v>ESSF</v>
          </cell>
          <cell r="C17" t="str">
            <v>HLF</v>
          </cell>
          <cell r="D17">
            <v>573133</v>
          </cell>
          <cell r="E17">
            <v>154924</v>
          </cell>
          <cell r="F17">
            <v>57.522166666666664</v>
          </cell>
          <cell r="G17">
            <v>15.820666666666666</v>
          </cell>
          <cell r="H17" t="str">
            <v>Hultsfred-Vimmerby</v>
          </cell>
        </row>
        <row r="18">
          <cell r="A18" t="str">
            <v>IDRE</v>
          </cell>
          <cell r="B18" t="str">
            <v>ESUE</v>
          </cell>
          <cell r="C18" t="str">
            <v>IDB</v>
          </cell>
          <cell r="D18">
            <v>615211</v>
          </cell>
          <cell r="E18">
            <v>124122</v>
          </cell>
          <cell r="F18">
            <v>61.868499999999997</v>
          </cell>
          <cell r="G18">
            <v>12.686999999999999</v>
          </cell>
          <cell r="H18" t="str">
            <v>Idre</v>
          </cell>
        </row>
        <row r="19">
          <cell r="A19" t="str">
            <v>JÖNKÖPING</v>
          </cell>
          <cell r="B19" t="str">
            <v>ESGJ</v>
          </cell>
          <cell r="C19" t="str">
            <v>JKG</v>
          </cell>
          <cell r="D19">
            <v>574530</v>
          </cell>
          <cell r="E19">
            <v>140409</v>
          </cell>
          <cell r="F19">
            <v>57.755000000000003</v>
          </cell>
          <cell r="G19">
            <v>14.068166666666666</v>
          </cell>
          <cell r="H19" t="str">
            <v>Jönköping</v>
          </cell>
        </row>
        <row r="20">
          <cell r="A20" t="str">
            <v>KALMAR</v>
          </cell>
          <cell r="B20" t="str">
            <v>ESMQ</v>
          </cell>
          <cell r="C20" t="str">
            <v>KLR</v>
          </cell>
          <cell r="D20">
            <v>564108</v>
          </cell>
          <cell r="E20">
            <v>161715</v>
          </cell>
          <cell r="F20">
            <v>56.684666666666665</v>
          </cell>
          <cell r="G20">
            <v>16.285833333333336</v>
          </cell>
          <cell r="H20" t="str">
            <v>Kalmar</v>
          </cell>
        </row>
        <row r="21">
          <cell r="A21" t="str">
            <v>KARLSKOGA</v>
          </cell>
          <cell r="B21" t="str">
            <v>ESKK</v>
          </cell>
          <cell r="D21">
            <v>592040</v>
          </cell>
          <cell r="E21">
            <v>142941</v>
          </cell>
          <cell r="F21">
            <v>59.34</v>
          </cell>
          <cell r="G21">
            <v>14.490166666666665</v>
          </cell>
          <cell r="H21" t="str">
            <v>Karlskoga</v>
          </cell>
        </row>
        <row r="22">
          <cell r="A22" t="str">
            <v>KARLSTAD</v>
          </cell>
          <cell r="B22" t="str">
            <v>ESOK</v>
          </cell>
          <cell r="C22" t="str">
            <v>KSD</v>
          </cell>
          <cell r="D22">
            <v>592641</v>
          </cell>
          <cell r="E22">
            <v>132015</v>
          </cell>
          <cell r="F22">
            <v>59.440166666666663</v>
          </cell>
          <cell r="G22">
            <v>13.335833333333333</v>
          </cell>
          <cell r="H22" t="str">
            <v>Karlstad</v>
          </cell>
        </row>
        <row r="23">
          <cell r="A23" t="str">
            <v>KIRUNA</v>
          </cell>
          <cell r="B23" t="str">
            <v>ESNQ</v>
          </cell>
          <cell r="C23" t="str">
            <v>KRN</v>
          </cell>
          <cell r="D23">
            <v>674917</v>
          </cell>
          <cell r="E23">
            <v>202008</v>
          </cell>
          <cell r="F23">
            <v>67.819499999999991</v>
          </cell>
          <cell r="G23">
            <v>20.334666666666667</v>
          </cell>
          <cell r="H23" t="str">
            <v>Kiruna</v>
          </cell>
        </row>
        <row r="24">
          <cell r="A24" t="str">
            <v>KRAMFORS</v>
          </cell>
          <cell r="B24" t="str">
            <v>ESNK</v>
          </cell>
          <cell r="C24" t="str">
            <v>KRF</v>
          </cell>
          <cell r="D24">
            <v>630255</v>
          </cell>
          <cell r="E24">
            <v>174610</v>
          </cell>
          <cell r="F24">
            <v>63.042499999999997</v>
          </cell>
          <cell r="G24">
            <v>17.768333333333331</v>
          </cell>
          <cell r="H24" t="str">
            <v>Kramfors</v>
          </cell>
        </row>
        <row r="25">
          <cell r="A25" t="str">
            <v>KRISTIANSTAD/EVERÖD</v>
          </cell>
          <cell r="B25" t="str">
            <v>ESMK</v>
          </cell>
          <cell r="C25" t="str">
            <v>KID</v>
          </cell>
          <cell r="D25">
            <v>555514</v>
          </cell>
          <cell r="E25">
            <v>140507</v>
          </cell>
          <cell r="F25">
            <v>55.918999999999997</v>
          </cell>
          <cell r="G25">
            <v>14.0845</v>
          </cell>
          <cell r="H25" t="str">
            <v>Kristianstad</v>
          </cell>
        </row>
        <row r="26">
          <cell r="A26" t="str">
            <v>LIDKÖPING</v>
          </cell>
          <cell r="B26" t="str">
            <v>ESGL</v>
          </cell>
          <cell r="D26">
            <v>582755</v>
          </cell>
          <cell r="E26">
            <v>131028</v>
          </cell>
          <cell r="F26">
            <v>58.459166666666668</v>
          </cell>
          <cell r="G26">
            <v>13.171333333333333</v>
          </cell>
          <cell r="H26" t="str">
            <v>Lidköping</v>
          </cell>
        </row>
        <row r="27">
          <cell r="A27" t="str">
            <v>LINKÖPING/MALMEN</v>
          </cell>
          <cell r="B27" t="str">
            <v>ESCF</v>
          </cell>
          <cell r="D27">
            <v>582352</v>
          </cell>
          <cell r="E27">
            <v>153122</v>
          </cell>
          <cell r="F27">
            <v>58.392000000000003</v>
          </cell>
          <cell r="G27">
            <v>15.520333333333333</v>
          </cell>
          <cell r="H27" t="str">
            <v>Linköping/Malmen</v>
          </cell>
        </row>
        <row r="28">
          <cell r="A28" t="str">
            <v>LINKÖPING/SAAB</v>
          </cell>
          <cell r="B28" t="str">
            <v>ESSL</v>
          </cell>
          <cell r="C28" t="str">
            <v>LPI</v>
          </cell>
          <cell r="D28">
            <v>582423</v>
          </cell>
          <cell r="E28">
            <v>154047</v>
          </cell>
          <cell r="F28">
            <v>58.403833333333331</v>
          </cell>
          <cell r="G28">
            <v>15.6745</v>
          </cell>
          <cell r="H28" t="str">
            <v>Linköping</v>
          </cell>
        </row>
        <row r="29">
          <cell r="A29" t="str">
            <v>LJUNGBY</v>
          </cell>
          <cell r="B29" t="str">
            <v>ESMG</v>
          </cell>
          <cell r="D29">
            <v>565701</v>
          </cell>
          <cell r="E29">
            <v>135518</v>
          </cell>
          <cell r="F29">
            <v>56.950166666666668</v>
          </cell>
          <cell r="G29">
            <v>13.919666666666666</v>
          </cell>
          <cell r="H29" t="str">
            <v>Ljungby</v>
          </cell>
        </row>
        <row r="30">
          <cell r="A30" t="str">
            <v>LJUNGBYHED</v>
          </cell>
          <cell r="B30" t="str">
            <v>ESDA</v>
          </cell>
          <cell r="D30">
            <v>560507</v>
          </cell>
          <cell r="E30">
            <v>131225</v>
          </cell>
          <cell r="F30">
            <v>56.084500000000006</v>
          </cell>
          <cell r="G30">
            <v>13.204166666666666</v>
          </cell>
          <cell r="H30" t="str">
            <v>Ljungbyhed</v>
          </cell>
        </row>
        <row r="31">
          <cell r="A31" t="str">
            <v>LUDVIKA</v>
          </cell>
          <cell r="B31" t="str">
            <v>ESSG</v>
          </cell>
          <cell r="D31">
            <v>600518</v>
          </cell>
          <cell r="E31">
            <v>150547</v>
          </cell>
          <cell r="F31">
            <v>60.086333333333336</v>
          </cell>
          <cell r="G31">
            <v>15.091166666666668</v>
          </cell>
          <cell r="H31" t="str">
            <v>Ludvika</v>
          </cell>
        </row>
        <row r="32">
          <cell r="A32" t="str">
            <v>LULEÅ</v>
          </cell>
          <cell r="B32" t="str">
            <v>ESPA</v>
          </cell>
          <cell r="C32" t="str">
            <v>LLA</v>
          </cell>
          <cell r="D32">
            <v>653236</v>
          </cell>
          <cell r="E32">
            <v>220725</v>
          </cell>
          <cell r="F32">
            <v>65.539333333333332</v>
          </cell>
          <cell r="G32">
            <v>22.120833333333334</v>
          </cell>
          <cell r="H32" t="str">
            <v>Luleå</v>
          </cell>
        </row>
        <row r="33">
          <cell r="A33" t="str">
            <v>LYCKSELE</v>
          </cell>
          <cell r="B33" t="str">
            <v>ESNL</v>
          </cell>
          <cell r="C33" t="str">
            <v>LYC</v>
          </cell>
          <cell r="D33">
            <v>643251</v>
          </cell>
          <cell r="E33">
            <v>184304</v>
          </cell>
          <cell r="F33">
            <v>64.541833333333329</v>
          </cell>
          <cell r="G33">
            <v>18.717333333333332</v>
          </cell>
          <cell r="H33" t="str">
            <v>Lycksele</v>
          </cell>
        </row>
        <row r="34">
          <cell r="A34" t="str">
            <v>MALMÖ-STURUP</v>
          </cell>
          <cell r="B34" t="str">
            <v>ESMS</v>
          </cell>
          <cell r="C34" t="str">
            <v>MMX</v>
          </cell>
          <cell r="D34">
            <v>553254</v>
          </cell>
          <cell r="E34">
            <v>132112</v>
          </cell>
          <cell r="F34">
            <v>55.542333333333332</v>
          </cell>
          <cell r="G34">
            <v>13.352</v>
          </cell>
          <cell r="H34" t="str">
            <v>Malmö/Sturup</v>
          </cell>
        </row>
        <row r="35">
          <cell r="A35" t="str">
            <v>MORA/SILJAN</v>
          </cell>
          <cell r="B35" t="str">
            <v>ESKM</v>
          </cell>
          <cell r="C35" t="str">
            <v>MXX</v>
          </cell>
          <cell r="D35">
            <v>605731</v>
          </cell>
          <cell r="E35">
            <v>143038</v>
          </cell>
          <cell r="F35">
            <v>60.95516666666667</v>
          </cell>
          <cell r="G35">
            <v>14.506333333333334</v>
          </cell>
          <cell r="H35" t="str">
            <v>Mora</v>
          </cell>
        </row>
        <row r="36">
          <cell r="A36" t="str">
            <v>NORRKÖPING</v>
          </cell>
          <cell r="B36" t="str">
            <v>ESSP</v>
          </cell>
          <cell r="C36" t="str">
            <v>NRK</v>
          </cell>
          <cell r="D36">
            <v>583510</v>
          </cell>
          <cell r="E36">
            <v>161447</v>
          </cell>
          <cell r="F36">
            <v>58.585000000000001</v>
          </cell>
          <cell r="G36">
            <v>16.241166666666668</v>
          </cell>
          <cell r="H36" t="str">
            <v>Norrköping</v>
          </cell>
        </row>
        <row r="37">
          <cell r="A37" t="str">
            <v>OSKARSHAMN</v>
          </cell>
          <cell r="B37" t="str">
            <v>ESMO</v>
          </cell>
          <cell r="C37" t="str">
            <v>OSK</v>
          </cell>
          <cell r="D37">
            <v>572105</v>
          </cell>
          <cell r="E37">
            <v>162954</v>
          </cell>
          <cell r="F37">
            <v>57.350833333333334</v>
          </cell>
          <cell r="G37">
            <v>16.492333333333335</v>
          </cell>
          <cell r="H37" t="str">
            <v>Oskarshamn</v>
          </cell>
        </row>
        <row r="38">
          <cell r="A38" t="str">
            <v>RONNEBY</v>
          </cell>
          <cell r="B38" t="str">
            <v>ESDF</v>
          </cell>
          <cell r="C38" t="str">
            <v>RNB</v>
          </cell>
          <cell r="D38">
            <v>561600</v>
          </cell>
          <cell r="E38">
            <v>151554</v>
          </cell>
          <cell r="F38">
            <v>56.266666666666666</v>
          </cell>
          <cell r="G38">
            <v>15.259</v>
          </cell>
          <cell r="H38" t="str">
            <v>Ronneby</v>
          </cell>
        </row>
        <row r="39">
          <cell r="A39" t="str">
            <v>PAJALA</v>
          </cell>
          <cell r="B39" t="str">
            <v>ESUP</v>
          </cell>
          <cell r="D39">
            <v>671445</v>
          </cell>
          <cell r="E39">
            <v>230408</v>
          </cell>
          <cell r="F39">
            <v>67.240833333333327</v>
          </cell>
          <cell r="G39">
            <v>23.068000000000001</v>
          </cell>
          <cell r="H39" t="str">
            <v>Pajala</v>
          </cell>
        </row>
        <row r="40">
          <cell r="A40" t="str">
            <v>SKELLEFTEÅ</v>
          </cell>
          <cell r="B40" t="str">
            <v>ESNS</v>
          </cell>
          <cell r="C40" t="str">
            <v>SFT</v>
          </cell>
          <cell r="D40">
            <v>643729</v>
          </cell>
          <cell r="E40">
            <v>210437</v>
          </cell>
          <cell r="F40">
            <v>64.621499999999997</v>
          </cell>
          <cell r="G40">
            <v>21.072833333333332</v>
          </cell>
          <cell r="H40" t="str">
            <v>Skellefteå</v>
          </cell>
        </row>
        <row r="41">
          <cell r="A41" t="str">
            <v>SKÖVDE</v>
          </cell>
          <cell r="B41" t="str">
            <v>ESGR</v>
          </cell>
          <cell r="C41" t="str">
            <v>KVB</v>
          </cell>
          <cell r="D41">
            <v>582722</v>
          </cell>
          <cell r="E41">
            <v>135822</v>
          </cell>
          <cell r="F41">
            <v>58.45366666666667</v>
          </cell>
          <cell r="G41">
            <v>13.970333333333333</v>
          </cell>
          <cell r="H41" t="str">
            <v>Skövde</v>
          </cell>
        </row>
        <row r="42">
          <cell r="A42" t="str">
            <v>STOCKHOLM-ARLANDA</v>
          </cell>
          <cell r="B42" t="str">
            <v>ESSA</v>
          </cell>
          <cell r="C42" t="str">
            <v>ARN</v>
          </cell>
          <cell r="D42">
            <v>593907</v>
          </cell>
          <cell r="E42">
            <v>175507</v>
          </cell>
          <cell r="F42">
            <v>59.651166666666668</v>
          </cell>
          <cell r="G42">
            <v>17.917833333333334</v>
          </cell>
          <cell r="H42" t="str">
            <v>Stockholm/Arlanda</v>
          </cell>
        </row>
        <row r="43">
          <cell r="A43" t="str">
            <v>STOCKHOLM-BROMMA</v>
          </cell>
          <cell r="B43" t="str">
            <v>ESSB</v>
          </cell>
          <cell r="C43" t="str">
            <v>BMA</v>
          </cell>
          <cell r="D43">
            <v>592116</v>
          </cell>
          <cell r="E43">
            <v>175623</v>
          </cell>
          <cell r="F43">
            <v>59.352666666666671</v>
          </cell>
          <cell r="G43">
            <v>17.937166666666666</v>
          </cell>
          <cell r="H43" t="str">
            <v>Stockholm/Bromma</v>
          </cell>
        </row>
        <row r="44">
          <cell r="A44" t="str">
            <v>STOCKHOLM/SKAVSTA</v>
          </cell>
          <cell r="B44" t="str">
            <v>ESKN</v>
          </cell>
          <cell r="C44" t="str">
            <v>NYO</v>
          </cell>
          <cell r="D44">
            <v>584719</v>
          </cell>
          <cell r="E44">
            <v>165413</v>
          </cell>
          <cell r="F44">
            <v>58.786499999999997</v>
          </cell>
          <cell r="G44">
            <v>16.902166666666666</v>
          </cell>
          <cell r="H44" t="str">
            <v>Stockholm/Skavsta</v>
          </cell>
        </row>
        <row r="45">
          <cell r="A45" t="str">
            <v>STORUMAN</v>
          </cell>
          <cell r="B45" t="str">
            <v>ESPD</v>
          </cell>
          <cell r="C45" t="str">
            <v>SQO</v>
          </cell>
          <cell r="D45">
            <v>645739</v>
          </cell>
          <cell r="E45">
            <v>174148</v>
          </cell>
          <cell r="F45">
            <v>64.956500000000005</v>
          </cell>
          <cell r="G45">
            <v>17.691333333333333</v>
          </cell>
          <cell r="H45" t="str">
            <v>Storuman</v>
          </cell>
        </row>
        <row r="46">
          <cell r="A46" t="str">
            <v>SUNDSVALL-HÄRNÖSAND</v>
          </cell>
          <cell r="B46" t="str">
            <v>ESNN</v>
          </cell>
          <cell r="C46" t="str">
            <v>SDL</v>
          </cell>
          <cell r="D46">
            <v>623146</v>
          </cell>
          <cell r="E46">
            <v>172634</v>
          </cell>
          <cell r="F46">
            <v>62.524333333333331</v>
          </cell>
          <cell r="G46">
            <v>17.439</v>
          </cell>
          <cell r="H46" t="str">
            <v>Sundsvall-Härnösand</v>
          </cell>
        </row>
        <row r="47">
          <cell r="A47" t="str">
            <v>SVEG</v>
          </cell>
          <cell r="B47" t="str">
            <v>ESND</v>
          </cell>
          <cell r="C47" t="str">
            <v>EVG</v>
          </cell>
          <cell r="D47">
            <v>620252</v>
          </cell>
          <cell r="E47">
            <v>142527</v>
          </cell>
          <cell r="F47">
            <v>62.042000000000002</v>
          </cell>
          <cell r="G47">
            <v>14.421166666666666</v>
          </cell>
          <cell r="H47" t="str">
            <v>Sveg</v>
          </cell>
        </row>
        <row r="48">
          <cell r="A48" t="str">
            <v>SÖDERHAMN</v>
          </cell>
          <cell r="B48" t="str">
            <v>ESCL</v>
          </cell>
          <cell r="C48" t="str">
            <v>SOO</v>
          </cell>
          <cell r="D48">
            <v>611541</v>
          </cell>
          <cell r="E48">
            <v>170554</v>
          </cell>
          <cell r="F48">
            <v>61.256833333333333</v>
          </cell>
          <cell r="G48">
            <v>17.092333333333332</v>
          </cell>
          <cell r="H48" t="str">
            <v>Söderhamn</v>
          </cell>
        </row>
        <row r="49">
          <cell r="A49" t="str">
            <v>TORSBY/FRYKLANDA</v>
          </cell>
          <cell r="B49" t="str">
            <v>ESST</v>
          </cell>
          <cell r="C49" t="str">
            <v>TOT</v>
          </cell>
          <cell r="D49">
            <v>600917</v>
          </cell>
          <cell r="E49">
            <v>125937</v>
          </cell>
          <cell r="F49">
            <v>60.152833333333334</v>
          </cell>
          <cell r="G49">
            <v>12.9895</v>
          </cell>
          <cell r="H49" t="str">
            <v>Torsby</v>
          </cell>
        </row>
        <row r="50">
          <cell r="A50" t="str">
            <v>TROLLHÄTTAN/VÄNERSB</v>
          </cell>
          <cell r="B50" t="str">
            <v>ESGT</v>
          </cell>
          <cell r="C50" t="str">
            <v>THN</v>
          </cell>
          <cell r="D50">
            <v>581905</v>
          </cell>
          <cell r="E50">
            <v>122042</v>
          </cell>
          <cell r="F50">
            <v>58.317500000000003</v>
          </cell>
          <cell r="G50">
            <v>12.340333333333334</v>
          </cell>
          <cell r="H50" t="str">
            <v>Trollhättan - Vänersborg</v>
          </cell>
        </row>
        <row r="51">
          <cell r="A51" t="str">
            <v>UMEÅ</v>
          </cell>
          <cell r="B51" t="str">
            <v>ESNU</v>
          </cell>
          <cell r="C51" t="str">
            <v>UME</v>
          </cell>
          <cell r="D51">
            <v>634735</v>
          </cell>
          <cell r="E51">
            <v>201648</v>
          </cell>
          <cell r="F51">
            <v>63.789166666666667</v>
          </cell>
          <cell r="G51">
            <v>20.274666666666665</v>
          </cell>
          <cell r="H51" t="str">
            <v>Umeå</v>
          </cell>
        </row>
        <row r="52">
          <cell r="A52" t="str">
            <v>UPPSALA</v>
          </cell>
          <cell r="B52" t="str">
            <v>ESCM</v>
          </cell>
          <cell r="D52">
            <v>595403</v>
          </cell>
          <cell r="E52">
            <v>173545</v>
          </cell>
          <cell r="F52">
            <v>59.900500000000001</v>
          </cell>
          <cell r="G52">
            <v>17.590833333333332</v>
          </cell>
          <cell r="H52" t="str">
            <v>Uppsala</v>
          </cell>
        </row>
        <row r="53">
          <cell r="A53" t="str">
            <v>VILHELMINA</v>
          </cell>
          <cell r="B53" t="str">
            <v>ESNV</v>
          </cell>
          <cell r="C53" t="str">
            <v>VHM</v>
          </cell>
          <cell r="D53">
            <v>643443</v>
          </cell>
          <cell r="E53">
            <v>164023</v>
          </cell>
          <cell r="F53">
            <v>64.573833333333326</v>
          </cell>
          <cell r="G53">
            <v>16.670500000000001</v>
          </cell>
          <cell r="H53" t="str">
            <v>Vilhelmina</v>
          </cell>
        </row>
        <row r="54">
          <cell r="A54" t="str">
            <v>VISBY</v>
          </cell>
          <cell r="B54" t="str">
            <v>ESSV</v>
          </cell>
          <cell r="C54" t="str">
            <v>VBY</v>
          </cell>
          <cell r="D54">
            <v>573946</v>
          </cell>
          <cell r="E54">
            <v>182046</v>
          </cell>
          <cell r="F54">
            <v>57.657666666666664</v>
          </cell>
          <cell r="G54">
            <v>18.340999999999998</v>
          </cell>
          <cell r="H54" t="str">
            <v>Visby</v>
          </cell>
        </row>
        <row r="55">
          <cell r="A55" t="str">
            <v>VÄSTERÅS/HÄSSLÖ</v>
          </cell>
          <cell r="B55" t="str">
            <v>ESOW</v>
          </cell>
          <cell r="C55" t="str">
            <v>VST</v>
          </cell>
          <cell r="D55">
            <v>593522</v>
          </cell>
          <cell r="E55">
            <v>163801</v>
          </cell>
          <cell r="F55">
            <v>59.587000000000003</v>
          </cell>
          <cell r="G55">
            <v>16.633499999999998</v>
          </cell>
          <cell r="H55" t="str">
            <v>Västerås/Hässlö</v>
          </cell>
        </row>
        <row r="56">
          <cell r="A56" t="str">
            <v>VÄXJÖ/KRONOBERG</v>
          </cell>
          <cell r="B56" t="str">
            <v>ESMX</v>
          </cell>
          <cell r="C56" t="str">
            <v>VXO</v>
          </cell>
          <cell r="D56">
            <v>565549</v>
          </cell>
          <cell r="E56">
            <v>144344</v>
          </cell>
          <cell r="F56">
            <v>56.924833333333332</v>
          </cell>
          <cell r="G56">
            <v>14.724</v>
          </cell>
          <cell r="H56" t="str">
            <v>Växjö</v>
          </cell>
        </row>
        <row r="57">
          <cell r="A57" t="str">
            <v>ÄNGELHOLM</v>
          </cell>
          <cell r="B57" t="str">
            <v>ESDB</v>
          </cell>
          <cell r="C57" t="str">
            <v>AGH</v>
          </cell>
          <cell r="D57">
            <v>561728</v>
          </cell>
          <cell r="E57">
            <v>125118</v>
          </cell>
          <cell r="F57">
            <v>56.287999999999997</v>
          </cell>
          <cell r="G57">
            <v>12.853</v>
          </cell>
          <cell r="H57" t="str">
            <v>Ängelholm</v>
          </cell>
        </row>
        <row r="58">
          <cell r="A58" t="str">
            <v>ÖREBRO</v>
          </cell>
          <cell r="B58" t="str">
            <v>ESOE</v>
          </cell>
          <cell r="C58" t="str">
            <v>ORB</v>
          </cell>
          <cell r="D58">
            <v>591341</v>
          </cell>
          <cell r="E58">
            <v>150224</v>
          </cell>
          <cell r="F58">
            <v>59.223500000000001</v>
          </cell>
          <cell r="G58">
            <v>15.037333333333333</v>
          </cell>
          <cell r="H58" t="str">
            <v>Örebro-Bofors</v>
          </cell>
        </row>
        <row r="59">
          <cell r="A59" t="str">
            <v>ÖRNSKÖLDSVIK</v>
          </cell>
          <cell r="B59" t="str">
            <v>ESNO</v>
          </cell>
          <cell r="C59" t="str">
            <v>OER</v>
          </cell>
          <cell r="D59">
            <v>632428</v>
          </cell>
          <cell r="E59">
            <v>185933</v>
          </cell>
          <cell r="F59">
            <v>63.404666666666664</v>
          </cell>
          <cell r="G59">
            <v>18.988833333333336</v>
          </cell>
          <cell r="H59" t="str">
            <v>Örnsköldsvik</v>
          </cell>
        </row>
        <row r="60">
          <cell r="A60" t="str">
            <v>ÖSTERSUND</v>
          </cell>
          <cell r="B60" t="str">
            <v>ESPC</v>
          </cell>
          <cell r="C60" t="str">
            <v>OSD</v>
          </cell>
          <cell r="D60">
            <v>631140</v>
          </cell>
          <cell r="E60">
            <v>143001</v>
          </cell>
          <cell r="F60">
            <v>63.19</v>
          </cell>
          <cell r="G60">
            <v>14.500166666666667</v>
          </cell>
          <cell r="H60" t="str">
            <v>Östersund</v>
          </cell>
        </row>
        <row r="61">
          <cell r="A61" t="str">
            <v>DALA-JÄRNA</v>
          </cell>
          <cell r="B61" t="str">
            <v>ESKD</v>
          </cell>
          <cell r="D61">
            <v>603322</v>
          </cell>
          <cell r="E61">
            <v>142238</v>
          </cell>
          <cell r="F61">
            <v>60.553666666666665</v>
          </cell>
          <cell r="G61">
            <v>14.373000000000001</v>
          </cell>
          <cell r="H61" t="str">
            <v>Dala-Järna</v>
          </cell>
        </row>
        <row r="62">
          <cell r="A62" t="str">
            <v>TIERP</v>
          </cell>
          <cell r="B62" t="str">
            <v>ESKT</v>
          </cell>
          <cell r="D62">
            <v>602042</v>
          </cell>
          <cell r="E62">
            <v>172519</v>
          </cell>
          <cell r="F62">
            <v>60.340333333333334</v>
          </cell>
          <cell r="G62">
            <v>17.419833333333333</v>
          </cell>
          <cell r="H62" t="str">
            <v>Tierp</v>
          </cell>
        </row>
        <row r="63">
          <cell r="A63" t="str">
            <v>SÅTENÄS</v>
          </cell>
          <cell r="B63" t="str">
            <v>ESIB</v>
          </cell>
          <cell r="D63">
            <v>582542</v>
          </cell>
          <cell r="E63">
            <v>124240</v>
          </cell>
          <cell r="F63">
            <v>58.423666666666662</v>
          </cell>
          <cell r="G63">
            <v>12.706666666666665</v>
          </cell>
          <cell r="H63" t="str">
            <v>Såtenäs</v>
          </cell>
        </row>
        <row r="64">
          <cell r="A64" t="str">
            <v>ÄLMHULT</v>
          </cell>
          <cell r="B64" t="str">
            <v>ESMU</v>
          </cell>
          <cell r="D64">
            <v>563414</v>
          </cell>
          <cell r="E64">
            <v>140959</v>
          </cell>
          <cell r="F64">
            <v>56.569000000000003</v>
          </cell>
          <cell r="G64">
            <v>14.159833333333333</v>
          </cell>
          <cell r="H64" t="str">
            <v>Älmhult</v>
          </cell>
        </row>
        <row r="65">
          <cell r="A65" t="str">
            <v>SUNDBRO</v>
          </cell>
          <cell r="B65" t="str">
            <v>ESKC</v>
          </cell>
          <cell r="D65">
            <v>595522</v>
          </cell>
          <cell r="E65">
            <v>173212</v>
          </cell>
          <cell r="F65">
            <v>59.920333333333332</v>
          </cell>
          <cell r="G65">
            <v>17.535333333333334</v>
          </cell>
        </row>
        <row r="66">
          <cell r="A66" t="str">
            <v>ANDERSTORP</v>
          </cell>
          <cell r="B66" t="str">
            <v>ESMP</v>
          </cell>
          <cell r="D66">
            <v>571551</v>
          </cell>
          <cell r="E66">
            <v>133558</v>
          </cell>
          <cell r="F66">
            <v>57.258499999999998</v>
          </cell>
          <cell r="G66">
            <v>13.593</v>
          </cell>
        </row>
        <row r="67">
          <cell r="A67" t="str">
            <v>EKSHÄRAD</v>
          </cell>
          <cell r="B67" t="str">
            <v>ESKH</v>
          </cell>
          <cell r="D67">
            <v>600917</v>
          </cell>
          <cell r="E67">
            <v>133143</v>
          </cell>
          <cell r="F67">
            <v>60.152833333333334</v>
          </cell>
          <cell r="G67">
            <v>13.523833333333334</v>
          </cell>
        </row>
        <row r="68">
          <cell r="A68" t="str">
            <v>ÖRESTEN</v>
          </cell>
          <cell r="B68" t="str">
            <v>ESGM</v>
          </cell>
          <cell r="D68">
            <v>572643</v>
          </cell>
          <cell r="E68">
            <v>123856</v>
          </cell>
          <cell r="F68">
            <v>57.4405</v>
          </cell>
          <cell r="G68">
            <v>12.642666666666667</v>
          </cell>
        </row>
        <row r="69">
          <cell r="A69" t="str">
            <v>VISINGSÖ</v>
          </cell>
          <cell r="B69" t="str">
            <v>ESSI</v>
          </cell>
          <cell r="D69">
            <v>580555</v>
          </cell>
          <cell r="E69">
            <v>142409</v>
          </cell>
          <cell r="F69">
            <v>58.092500000000001</v>
          </cell>
          <cell r="G69">
            <v>14.4015</v>
          </cell>
        </row>
        <row r="70">
          <cell r="A70" t="str">
            <v>EMMABODA</v>
          </cell>
          <cell r="B70" t="str">
            <v>ESMA</v>
          </cell>
          <cell r="D70">
            <v>563640</v>
          </cell>
          <cell r="E70">
            <v>153623</v>
          </cell>
          <cell r="F70">
            <v>56.606666666666669</v>
          </cell>
          <cell r="G70">
            <v>15.603833333333332</v>
          </cell>
        </row>
        <row r="71">
          <cell r="A71" t="str">
            <v>LANDSKRONA/VIARP</v>
          </cell>
          <cell r="D71">
            <v>555640</v>
          </cell>
          <cell r="E71">
            <v>125210</v>
          </cell>
          <cell r="F71">
            <v>55.94</v>
          </cell>
          <cell r="G71">
            <v>12.868333333333334</v>
          </cell>
        </row>
        <row r="72">
          <cell r="A72" t="str">
            <v>STOCKHOLM/BARKARBY</v>
          </cell>
          <cell r="B72" t="str">
            <v>ESKB</v>
          </cell>
          <cell r="D72">
            <v>592444</v>
          </cell>
          <cell r="E72">
            <v>175322</v>
          </cell>
          <cell r="F72">
            <v>59.407333333333334</v>
          </cell>
          <cell r="G72">
            <v>17.887</v>
          </cell>
        </row>
        <row r="73">
          <cell r="A73" t="str">
            <v>HELSINGBORG/HARBOUR</v>
          </cell>
          <cell r="B73" t="str">
            <v>ESHH</v>
          </cell>
          <cell r="D73">
            <v>560214</v>
          </cell>
          <cell r="E73">
            <v>124132</v>
          </cell>
          <cell r="F73">
            <v>56.035666666666664</v>
          </cell>
          <cell r="G73">
            <v>12.688666666666666</v>
          </cell>
        </row>
        <row r="74">
          <cell r="A74" t="str">
            <v>HALLVIKEN</v>
          </cell>
          <cell r="B74" t="str">
            <v>ESNA</v>
          </cell>
          <cell r="D74">
            <v>634418</v>
          </cell>
          <cell r="E74">
            <v>152732</v>
          </cell>
          <cell r="F74">
            <v>63.736333333333334</v>
          </cell>
          <cell r="G74">
            <v>15.455333333333332</v>
          </cell>
        </row>
        <row r="75">
          <cell r="A75" t="str">
            <v>LJUNGBY/FERINGE</v>
          </cell>
          <cell r="B75" t="str">
            <v>ESMG</v>
          </cell>
          <cell r="D75">
            <v>565701</v>
          </cell>
          <cell r="E75">
            <v>135518</v>
          </cell>
          <cell r="F75">
            <v>56.950166666666668</v>
          </cell>
          <cell r="G75">
            <v>13.919666666666666</v>
          </cell>
          <cell r="H75" t="str">
            <v>Ljungby</v>
          </cell>
        </row>
        <row r="76">
          <cell r="A76" t="str">
            <v>ÅMSELE</v>
          </cell>
          <cell r="B76" t="str">
            <v>ESUA</v>
          </cell>
          <cell r="D76">
            <v>643414</v>
          </cell>
          <cell r="E76">
            <v>191851</v>
          </cell>
          <cell r="F76">
            <v>64.569000000000003</v>
          </cell>
          <cell r="G76">
            <v>19.308500000000002</v>
          </cell>
        </row>
        <row r="77">
          <cell r="A77" t="str">
            <v>VIDSEL</v>
          </cell>
          <cell r="B77" t="str">
            <v>ESPE</v>
          </cell>
          <cell r="D77">
            <v>655231</v>
          </cell>
          <cell r="E77">
            <v>200900</v>
          </cell>
          <cell r="F77">
            <v>65.871833333333328</v>
          </cell>
          <cell r="G77">
            <v>20.149999999999999</v>
          </cell>
        </row>
        <row r="78">
          <cell r="A78" t="str">
            <v>MOHED</v>
          </cell>
          <cell r="B78" t="str">
            <v>ESUM</v>
          </cell>
          <cell r="D78">
            <v>611728</v>
          </cell>
          <cell r="E78">
            <v>165047</v>
          </cell>
          <cell r="F78">
            <v>61.287999999999997</v>
          </cell>
          <cell r="G78">
            <v>16.841166666666666</v>
          </cell>
        </row>
        <row r="79">
          <cell r="A79" t="str">
            <v>KARLSBORG</v>
          </cell>
          <cell r="B79" t="str">
            <v>ESIA</v>
          </cell>
          <cell r="D79">
            <v>583049</v>
          </cell>
          <cell r="E79">
            <v>143026</v>
          </cell>
          <cell r="F79">
            <v>58.508166666666668</v>
          </cell>
          <cell r="G79">
            <v>14.504333333333333</v>
          </cell>
        </row>
        <row r="80">
          <cell r="A80" t="str">
            <v>OPTAND</v>
          </cell>
          <cell r="B80" t="str">
            <v>ESNM</v>
          </cell>
          <cell r="D80">
            <v>630731</v>
          </cell>
          <cell r="E80">
            <v>144830</v>
          </cell>
          <cell r="F80">
            <v>63.121833333333335</v>
          </cell>
          <cell r="G80">
            <v>14.805000000000001</v>
          </cell>
        </row>
        <row r="81">
          <cell r="A81" t="str">
            <v>HERRLJUNGA</v>
          </cell>
          <cell r="B81" t="str">
            <v>ESGH</v>
          </cell>
          <cell r="D81">
            <v>580146</v>
          </cell>
          <cell r="E81">
            <v>130629</v>
          </cell>
          <cell r="F81">
            <v>58.024333333333331</v>
          </cell>
          <cell r="G81">
            <v>13.104833333333334</v>
          </cell>
        </row>
        <row r="82">
          <cell r="A82" t="str">
            <v>NORRTÄLJE</v>
          </cell>
          <cell r="B82" t="str">
            <v>ESSN</v>
          </cell>
          <cell r="D82">
            <v>594358</v>
          </cell>
          <cell r="E82">
            <v>184147</v>
          </cell>
          <cell r="F82">
            <v>59.726333333333336</v>
          </cell>
          <cell r="G82">
            <v>18.691166666666668</v>
          </cell>
        </row>
        <row r="83">
          <cell r="A83" t="str">
            <v>BRATTFORSHEDEN</v>
          </cell>
          <cell r="B83" t="str">
            <v>ESSM</v>
          </cell>
          <cell r="D83">
            <v>593630</v>
          </cell>
          <cell r="E83">
            <v>135444</v>
          </cell>
          <cell r="F83">
            <v>59.605000000000004</v>
          </cell>
          <cell r="G83">
            <v>13.907333333333334</v>
          </cell>
        </row>
        <row r="84">
          <cell r="A84" t="str">
            <v>GRYTTJOM</v>
          </cell>
          <cell r="B84" t="str">
            <v>ESKG</v>
          </cell>
          <cell r="D84">
            <v>601713</v>
          </cell>
          <cell r="E84">
            <v>172518</v>
          </cell>
          <cell r="F84">
            <v>60.285499999999999</v>
          </cell>
          <cell r="G84">
            <v>17.419666666666668</v>
          </cell>
        </row>
        <row r="85">
          <cell r="A85" t="str">
            <v>STOCKHOLM/SKÅ-EDEBY</v>
          </cell>
          <cell r="B85" t="str">
            <v>ESSE</v>
          </cell>
          <cell r="D85">
            <v>592042</v>
          </cell>
          <cell r="E85">
            <v>174426</v>
          </cell>
          <cell r="F85">
            <v>59.340333333333334</v>
          </cell>
          <cell r="G85">
            <v>17.737666666666669</v>
          </cell>
        </row>
        <row r="86">
          <cell r="A86" t="str">
            <v>VÄNGSÖ</v>
          </cell>
          <cell r="B86" t="str">
            <v>ESSZ</v>
          </cell>
          <cell r="D86">
            <v>590610</v>
          </cell>
          <cell r="E86">
            <v>171300</v>
          </cell>
          <cell r="F86">
            <v>59.101666666666667</v>
          </cell>
          <cell r="G86">
            <v>17.216666666666665</v>
          </cell>
        </row>
        <row r="87">
          <cell r="A87" t="str">
            <v>LAXÅ</v>
          </cell>
          <cell r="B87" t="str">
            <v>ESSH</v>
          </cell>
          <cell r="D87">
            <v>585843</v>
          </cell>
          <cell r="E87">
            <v>143958</v>
          </cell>
          <cell r="F87">
            <v>58.973833333333339</v>
          </cell>
          <cell r="G87">
            <v>14.659666666666666</v>
          </cell>
        </row>
        <row r="88">
          <cell r="A88" t="str">
            <v>HÖGANÄS</v>
          </cell>
          <cell r="B88" t="str">
            <v>ESMH</v>
          </cell>
          <cell r="D88">
            <v>561105</v>
          </cell>
          <cell r="E88">
            <v>123433</v>
          </cell>
          <cell r="F88">
            <v>56.184166666666663</v>
          </cell>
          <cell r="G88">
            <v>12.572166666666666</v>
          </cell>
        </row>
        <row r="89">
          <cell r="A89" t="str">
            <v>GIMO</v>
          </cell>
          <cell r="B89" t="str">
            <v>ESKA</v>
          </cell>
          <cell r="D89">
            <v>600758</v>
          </cell>
          <cell r="E89">
            <v>180618</v>
          </cell>
          <cell r="F89">
            <v>60.126333333333335</v>
          </cell>
          <cell r="G89">
            <v>18.103000000000002</v>
          </cell>
        </row>
        <row r="90">
          <cell r="A90" t="str">
            <v>STRÖMSTAD/NÄSINGE</v>
          </cell>
          <cell r="B90" t="str">
            <v>ESGS</v>
          </cell>
          <cell r="D90">
            <v>590101</v>
          </cell>
          <cell r="E90">
            <v>112037</v>
          </cell>
          <cell r="F90">
            <v>59.016833333333331</v>
          </cell>
          <cell r="G90">
            <v>11.339500000000001</v>
          </cell>
        </row>
        <row r="91">
          <cell r="A91" t="str">
            <v>FALLFORS</v>
          </cell>
          <cell r="B91" t="str">
            <v>ESUF</v>
          </cell>
          <cell r="D91">
            <v>650627</v>
          </cell>
          <cell r="E91">
            <v>204504</v>
          </cell>
          <cell r="F91">
            <v>65.104499999999987</v>
          </cell>
          <cell r="G91">
            <v>20.750666666666667</v>
          </cell>
        </row>
        <row r="92">
          <cell r="A92" t="str">
            <v>VÄSTERVIK</v>
          </cell>
          <cell r="B92" t="str">
            <v>ESSW</v>
          </cell>
          <cell r="D92">
            <v>574648</v>
          </cell>
          <cell r="E92">
            <v>163125</v>
          </cell>
          <cell r="F92">
            <v>57.774666666666668</v>
          </cell>
          <cell r="G92">
            <v>16.520833333333332</v>
          </cell>
        </row>
        <row r="93">
          <cell r="A93" t="str">
            <v>STOCKHOLM/TULLINGE</v>
          </cell>
          <cell r="B93" t="str">
            <v>ESCN</v>
          </cell>
          <cell r="D93">
            <v>591046</v>
          </cell>
          <cell r="E93">
            <v>175428</v>
          </cell>
          <cell r="F93">
            <v>59.17433333333333</v>
          </cell>
          <cell r="G93">
            <v>17.904666666666664</v>
          </cell>
        </row>
        <row r="94">
          <cell r="A94" t="str">
            <v>PITEÅ</v>
          </cell>
          <cell r="B94" t="str">
            <v>ESNP</v>
          </cell>
          <cell r="D94">
            <v>652354</v>
          </cell>
          <cell r="E94">
            <v>211539</v>
          </cell>
          <cell r="F94">
            <v>65.39233333333334</v>
          </cell>
          <cell r="G94">
            <v>21.256499999999999</v>
          </cell>
        </row>
        <row r="95">
          <cell r="A95" t="str">
            <v>HAGSHULT</v>
          </cell>
          <cell r="B95" t="str">
            <v>ESMV</v>
          </cell>
          <cell r="D95">
            <v>571732</v>
          </cell>
          <cell r="E95">
            <v>140814</v>
          </cell>
          <cell r="F95">
            <v>57.288666666666664</v>
          </cell>
          <cell r="G95">
            <v>14.135666666666665</v>
          </cell>
        </row>
        <row r="96">
          <cell r="A96" t="str">
            <v>RÅDA</v>
          </cell>
          <cell r="B96" t="str">
            <v>ESFR</v>
          </cell>
          <cell r="D96">
            <v>582953</v>
          </cell>
          <cell r="E96">
            <v>130317</v>
          </cell>
          <cell r="F96">
            <v>58.49216666666667</v>
          </cell>
          <cell r="G96">
            <v>13.052833333333334</v>
          </cell>
        </row>
        <row r="97">
          <cell r="A97" t="str">
            <v>FÄRILA</v>
          </cell>
          <cell r="B97" t="str">
            <v>ESNF</v>
          </cell>
          <cell r="D97">
            <v>615353</v>
          </cell>
          <cell r="E97">
            <v>154219</v>
          </cell>
          <cell r="F97">
            <v>61.892166666666668</v>
          </cell>
          <cell r="G97">
            <v>15.703166666666666</v>
          </cell>
        </row>
        <row r="98">
          <cell r="A98" t="str">
            <v>JOKKMOKK</v>
          </cell>
          <cell r="B98" t="str">
            <v>ESNJ</v>
          </cell>
          <cell r="D98">
            <v>662948</v>
          </cell>
          <cell r="E98">
            <v>200851</v>
          </cell>
          <cell r="F98">
            <v>66.49133333333333</v>
          </cell>
          <cell r="G98">
            <v>20.141833333333334</v>
          </cell>
        </row>
        <row r="99">
          <cell r="A99" t="str">
            <v>ÖLANDA</v>
          </cell>
          <cell r="B99" t="str">
            <v>ESMZ</v>
          </cell>
          <cell r="D99">
            <v>571943</v>
          </cell>
          <cell r="E99">
            <v>170301</v>
          </cell>
          <cell r="F99">
            <v>57.32383333333334</v>
          </cell>
          <cell r="G99">
            <v>17.050166666666666</v>
          </cell>
        </row>
        <row r="100">
          <cell r="A100" t="str">
            <v>VÄSTERÅS/JOHANNISB</v>
          </cell>
          <cell r="B100" t="str">
            <v>ESSX</v>
          </cell>
          <cell r="D100">
            <v>593433</v>
          </cell>
          <cell r="E100">
            <v>163011</v>
          </cell>
          <cell r="F100">
            <v>59.572166666666668</v>
          </cell>
          <cell r="G100">
            <v>16.501833333333334</v>
          </cell>
        </row>
        <row r="101">
          <cell r="A101" t="str">
            <v>NORRKÖPING/BRÅVALLA</v>
          </cell>
          <cell r="B101" t="str">
            <v>ESCK</v>
          </cell>
          <cell r="D101">
            <v>583639</v>
          </cell>
          <cell r="E101">
            <v>160613</v>
          </cell>
          <cell r="F101">
            <v>58.606500000000004</v>
          </cell>
          <cell r="G101">
            <v>16.102166666666669</v>
          </cell>
        </row>
        <row r="102">
          <cell r="A102" t="str">
            <v>HELSINGBORG/HAMNEN</v>
          </cell>
          <cell r="B102" t="str">
            <v>ESHH</v>
          </cell>
          <cell r="D102">
            <v>560214</v>
          </cell>
          <cell r="E102">
            <v>124132</v>
          </cell>
          <cell r="F102">
            <v>56.035666666666664</v>
          </cell>
          <cell r="G102">
            <v>12.688666666666666</v>
          </cell>
        </row>
        <row r="103">
          <cell r="A103" t="str">
            <v>STOCKHOLM/VÄSTERÅS</v>
          </cell>
          <cell r="B103" t="str">
            <v>ESOW</v>
          </cell>
          <cell r="C103" t="str">
            <v>VST</v>
          </cell>
          <cell r="D103">
            <v>593522</v>
          </cell>
          <cell r="E103">
            <v>163801</v>
          </cell>
          <cell r="F103">
            <v>59.587000000000003</v>
          </cell>
          <cell r="G103">
            <v>16.633499999999998</v>
          </cell>
          <cell r="H103" t="str">
            <v>Stockholm/Västerås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spång"/>
      <sheetName val="Shanghai"/>
      <sheetName val="Huntingdon"/>
      <sheetName val="Salisbury"/>
      <sheetName val="Newport"/>
      <sheetName val="Franklin"/>
      <sheetName val="Gränges Americas"/>
      <sheetName val="Gränges Group"/>
      <sheetName val="BFC 2019 targets"/>
      <sheetName val="Lists"/>
      <sheetName val="OLD --&gt;"/>
      <sheetName val="HFM Finspång"/>
      <sheetName val="HFM Shanghai"/>
      <sheetName val="HFM Huntingdon"/>
      <sheetName val="HFM Salisbury"/>
      <sheetName val="HFM Newport"/>
      <sheetName val="HFM Franklin"/>
      <sheetName val="2016 data from HFM"/>
      <sheetName val="HFM Gränges Group"/>
      <sheetName val="SUMMARY"/>
      <sheetName val="Targets"/>
      <sheetName val="AARO_System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73B04-DFA7-496D-8D47-34AF97D201BE}">
  <sheetPr codeName="Sheet1"/>
  <dimension ref="A1:K26"/>
  <sheetViews>
    <sheetView showGridLines="0" tabSelected="1" zoomScale="80" zoomScaleNormal="80" workbookViewId="0">
      <selection activeCell="C8" sqref="C8:I9"/>
    </sheetView>
  </sheetViews>
  <sheetFormatPr defaultColWidth="0" defaultRowHeight="0" customHeight="1" zeroHeight="1" x14ac:dyDescent="0.25"/>
  <cols>
    <col min="1" max="1" width="8.7109375" customWidth="1"/>
    <col min="2" max="10" width="25.7109375" customWidth="1"/>
    <col min="11" max="11" width="8.7109375" customWidth="1"/>
    <col min="12" max="16384" width="8.7109375" hidden="1"/>
  </cols>
  <sheetData>
    <row r="1" spans="2:10" ht="15" x14ac:dyDescent="0.25"/>
    <row r="2" spans="2:10" ht="15" x14ac:dyDescent="0.25">
      <c r="B2" s="22"/>
      <c r="C2" s="21"/>
    </row>
    <row r="3" spans="2:10" ht="15" x14ac:dyDescent="0.25">
      <c r="B3" s="20"/>
      <c r="C3" s="19"/>
    </row>
    <row r="4" spans="2:10" ht="15" x14ac:dyDescent="0.25">
      <c r="B4" s="20"/>
      <c r="C4" s="19"/>
    </row>
    <row r="5" spans="2:10" ht="15" x14ac:dyDescent="0.25"/>
    <row r="6" spans="2:10" ht="30" customHeight="1" x14ac:dyDescent="0.25">
      <c r="B6" s="18"/>
      <c r="C6" s="17"/>
      <c r="D6" s="17"/>
      <c r="E6" s="17"/>
      <c r="F6" s="6"/>
      <c r="G6" s="6"/>
      <c r="H6" s="5"/>
      <c r="I6" s="5"/>
      <c r="J6" s="5"/>
    </row>
    <row r="7" spans="2:10" ht="30" customHeight="1" x14ac:dyDescent="0.25">
      <c r="B7" s="4"/>
      <c r="C7" s="261" t="s">
        <v>0</v>
      </c>
      <c r="D7" s="261"/>
      <c r="E7" s="261"/>
      <c r="F7" s="261"/>
      <c r="G7" s="261"/>
      <c r="H7" s="261"/>
      <c r="I7" s="261"/>
      <c r="J7" s="16"/>
    </row>
    <row r="8" spans="2:10" ht="30" customHeight="1" x14ac:dyDescent="0.25">
      <c r="B8" s="4"/>
      <c r="C8" s="262" t="s">
        <v>1</v>
      </c>
      <c r="D8" s="262"/>
      <c r="E8" s="262"/>
      <c r="F8" s="262"/>
      <c r="G8" s="262"/>
      <c r="H8" s="262"/>
      <c r="I8" s="262"/>
      <c r="J8" s="15"/>
    </row>
    <row r="9" spans="2:10" ht="30" customHeight="1" x14ac:dyDescent="0.25">
      <c r="B9" s="4"/>
      <c r="C9" s="262"/>
      <c r="D9" s="262"/>
      <c r="E9" s="262"/>
      <c r="F9" s="262"/>
      <c r="G9" s="262"/>
      <c r="H9" s="262"/>
      <c r="I9" s="262"/>
      <c r="J9" s="15"/>
    </row>
    <row r="10" spans="2:10" ht="30" customHeight="1" x14ac:dyDescent="0.25">
      <c r="B10" s="4"/>
      <c r="C10" s="4"/>
      <c r="D10" s="4"/>
      <c r="E10" s="4"/>
      <c r="F10" s="15"/>
      <c r="G10" s="119" t="s">
        <v>2</v>
      </c>
      <c r="H10" s="15"/>
      <c r="I10" s="15"/>
      <c r="J10" s="15"/>
    </row>
    <row r="11" spans="2:10" ht="30" customHeight="1" x14ac:dyDescent="0.25">
      <c r="B11" s="4"/>
      <c r="C11" s="275" t="s">
        <v>3</v>
      </c>
      <c r="D11" s="275"/>
      <c r="E11" s="275"/>
      <c r="F11" s="275"/>
      <c r="G11" s="263" t="s">
        <v>4</v>
      </c>
      <c r="H11" s="263"/>
      <c r="I11" s="263"/>
      <c r="J11" s="118"/>
    </row>
    <row r="12" spans="2:10" ht="30" customHeight="1" x14ac:dyDescent="0.25">
      <c r="B12" s="4"/>
      <c r="C12" s="275"/>
      <c r="D12" s="275"/>
      <c r="E12" s="275"/>
      <c r="F12" s="275"/>
      <c r="G12" s="121" t="s">
        <v>5</v>
      </c>
      <c r="J12" s="118"/>
    </row>
    <row r="13" spans="2:10" ht="30" customHeight="1" x14ac:dyDescent="0.25">
      <c r="B13" s="4"/>
      <c r="C13" s="275"/>
      <c r="D13" s="275"/>
      <c r="E13" s="275"/>
      <c r="F13" s="275"/>
      <c r="G13" s="274" t="s">
        <v>6</v>
      </c>
      <c r="H13" s="274"/>
      <c r="I13" s="274"/>
      <c r="J13" s="15"/>
    </row>
    <row r="14" spans="2:10" ht="30" customHeight="1" x14ac:dyDescent="0.25">
      <c r="B14" s="4"/>
      <c r="D14" s="124"/>
      <c r="E14" s="124"/>
      <c r="F14" s="124"/>
      <c r="G14" s="120" t="s">
        <v>7</v>
      </c>
      <c r="H14" s="118"/>
      <c r="I14" s="118"/>
      <c r="J14" s="118"/>
    </row>
    <row r="15" spans="2:10" ht="30" customHeight="1" x14ac:dyDescent="0.25">
      <c r="B15" s="4"/>
      <c r="C15" s="275" t="s">
        <v>347</v>
      </c>
      <c r="D15" s="275"/>
      <c r="E15" s="275"/>
      <c r="F15" s="275"/>
      <c r="G15" s="264" t="s">
        <v>8</v>
      </c>
      <c r="H15" s="264"/>
      <c r="I15" s="264"/>
      <c r="J15" s="118"/>
    </row>
    <row r="16" spans="2:10" ht="30" customHeight="1" x14ac:dyDescent="0.25">
      <c r="B16" s="4"/>
      <c r="C16" s="275"/>
      <c r="D16" s="275"/>
      <c r="E16" s="275"/>
      <c r="F16" s="275"/>
      <c r="G16" s="121" t="s">
        <v>9</v>
      </c>
      <c r="H16" s="118"/>
      <c r="I16" s="118"/>
      <c r="J16" s="11"/>
    </row>
    <row r="17" spans="2:10" ht="30" customHeight="1" x14ac:dyDescent="0.25">
      <c r="B17" s="4"/>
      <c r="C17" s="275"/>
      <c r="D17" s="275"/>
      <c r="E17" s="275"/>
      <c r="F17" s="275"/>
      <c r="G17" s="265" t="s">
        <v>10</v>
      </c>
      <c r="H17" s="266"/>
      <c r="I17" s="267"/>
      <c r="J17" s="118"/>
    </row>
    <row r="18" spans="2:10" ht="30" customHeight="1" x14ac:dyDescent="0.25">
      <c r="B18" s="4"/>
      <c r="C18" s="9"/>
      <c r="D18" s="4"/>
      <c r="E18" s="4"/>
      <c r="F18" s="11"/>
      <c r="G18" s="122" t="s">
        <v>11</v>
      </c>
      <c r="H18" s="11"/>
      <c r="I18" s="11"/>
      <c r="J18" s="118"/>
    </row>
    <row r="19" spans="2:10" ht="30" customHeight="1" x14ac:dyDescent="0.25">
      <c r="B19" s="4"/>
      <c r="C19" s="275" t="s">
        <v>12</v>
      </c>
      <c r="D19" s="275"/>
      <c r="E19" s="275"/>
      <c r="F19" s="275"/>
      <c r="G19" s="268" t="s">
        <v>13</v>
      </c>
      <c r="H19" s="269"/>
      <c r="I19" s="270"/>
      <c r="J19" s="7"/>
    </row>
    <row r="20" spans="2:10" ht="30" customHeight="1" x14ac:dyDescent="0.25">
      <c r="B20" s="10"/>
      <c r="C20" s="275"/>
      <c r="D20" s="275"/>
      <c r="E20" s="275"/>
      <c r="F20" s="275"/>
      <c r="G20" s="123" t="s">
        <v>14</v>
      </c>
      <c r="H20" s="118"/>
      <c r="I20" s="118"/>
      <c r="J20" s="7"/>
    </row>
    <row r="21" spans="2:10" ht="30" customHeight="1" x14ac:dyDescent="0.25">
      <c r="B21" s="10"/>
      <c r="C21" s="275"/>
      <c r="D21" s="275"/>
      <c r="E21" s="275"/>
      <c r="F21" s="275"/>
      <c r="G21" s="271" t="s">
        <v>444</v>
      </c>
      <c r="H21" s="272"/>
      <c r="I21" s="273"/>
      <c r="J21" s="7"/>
    </row>
    <row r="22" spans="2:10" ht="30" customHeight="1" x14ac:dyDescent="0.25">
      <c r="B22" s="10"/>
      <c r="C22" s="14"/>
      <c r="D22" s="13"/>
      <c r="E22" s="13"/>
      <c r="F22" s="12"/>
      <c r="G22" s="12"/>
      <c r="H22" s="12"/>
      <c r="I22" s="12"/>
      <c r="J22" s="12"/>
    </row>
    <row r="23" spans="2:10" ht="30" customHeight="1" x14ac:dyDescent="0.25">
      <c r="B23" s="10"/>
      <c r="C23" s="260"/>
      <c r="D23" s="260"/>
      <c r="E23" s="260"/>
      <c r="F23" s="260"/>
      <c r="G23" s="8"/>
      <c r="H23" s="8"/>
      <c r="I23" s="8"/>
      <c r="J23" s="7"/>
    </row>
    <row r="24" spans="2:10" ht="30" customHeight="1" x14ac:dyDescent="0.25">
      <c r="B24" s="10"/>
      <c r="C24" s="260"/>
      <c r="D24" s="260"/>
      <c r="E24" s="260"/>
      <c r="F24" s="260"/>
      <c r="G24" s="8"/>
      <c r="H24" s="8"/>
      <c r="I24" s="8"/>
      <c r="J24" s="7"/>
    </row>
    <row r="25" spans="2:10" ht="30" customHeight="1" x14ac:dyDescent="0.25">
      <c r="B25" s="19"/>
      <c r="C25" s="260"/>
      <c r="D25" s="260"/>
      <c r="E25" s="260"/>
      <c r="F25" s="260"/>
      <c r="G25" s="2"/>
      <c r="H25" s="2"/>
      <c r="I25" s="2"/>
      <c r="J25" s="1"/>
    </row>
    <row r="26" spans="2:10" ht="30" customHeight="1" x14ac:dyDescent="0.25">
      <c r="B26" s="260"/>
      <c r="C26" s="260"/>
      <c r="D26" s="260"/>
      <c r="E26" s="3"/>
      <c r="F26" s="2"/>
      <c r="G26" s="2"/>
      <c r="H26" s="2"/>
      <c r="I26" s="2"/>
      <c r="J26" s="1"/>
    </row>
  </sheetData>
  <sheetProtection sheet="1" objects="1" scenarios="1"/>
  <mergeCells count="13">
    <mergeCell ref="B26:D26"/>
    <mergeCell ref="C7:I7"/>
    <mergeCell ref="C8:I9"/>
    <mergeCell ref="G11:I11"/>
    <mergeCell ref="G15:I15"/>
    <mergeCell ref="G17:I17"/>
    <mergeCell ref="G19:I19"/>
    <mergeCell ref="G21:I21"/>
    <mergeCell ref="G13:I13"/>
    <mergeCell ref="C11:F13"/>
    <mergeCell ref="C15:F17"/>
    <mergeCell ref="C19:F21"/>
    <mergeCell ref="C23:F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88D21-E2EF-4985-B508-5FFE7AA0F7DB}">
  <sheetPr codeName="Sheet10"/>
  <dimension ref="A1:Q28"/>
  <sheetViews>
    <sheetView showGridLines="0" topLeftCell="A6" zoomScale="90" zoomScaleNormal="90" workbookViewId="0">
      <selection activeCell="B3" sqref="B3:I3"/>
    </sheetView>
  </sheetViews>
  <sheetFormatPr defaultColWidth="0" defaultRowHeight="0" customHeight="1" zeroHeight="1" x14ac:dyDescent="0.25"/>
  <cols>
    <col min="1" max="1" width="8.7109375" customWidth="1"/>
    <col min="2" max="9" width="25.7109375" customWidth="1"/>
    <col min="10" max="10" width="8.7109375" customWidth="1"/>
    <col min="11" max="17" width="0" hidden="1" customWidth="1"/>
    <col min="18" max="16384" width="8.7109375" hidden="1"/>
  </cols>
  <sheetData>
    <row r="1" spans="1:9" ht="15" hidden="1" x14ac:dyDescent="0.25"/>
    <row r="2" spans="1:9" ht="33" customHeight="1" x14ac:dyDescent="0.25">
      <c r="B2" s="24"/>
    </row>
    <row r="3" spans="1:9" ht="33" customHeight="1" x14ac:dyDescent="0.25">
      <c r="B3" s="360" t="s">
        <v>334</v>
      </c>
      <c r="C3" s="360"/>
      <c r="D3" s="360"/>
      <c r="E3" s="360"/>
      <c r="F3" s="360"/>
      <c r="G3" s="360"/>
      <c r="H3" s="360"/>
      <c r="I3" s="360"/>
    </row>
    <row r="4" spans="1:9" ht="33" customHeight="1" x14ac:dyDescent="0.25">
      <c r="B4" s="69"/>
      <c r="C4" s="69"/>
      <c r="D4" s="69"/>
      <c r="E4" s="69"/>
      <c r="F4" s="69"/>
      <c r="G4" s="69"/>
      <c r="H4" s="69"/>
      <c r="I4" s="69"/>
    </row>
    <row r="5" spans="1:9" ht="33" customHeight="1" x14ac:dyDescent="0.25">
      <c r="B5" s="79"/>
      <c r="C5" s="79"/>
      <c r="D5" s="82"/>
      <c r="E5" s="79"/>
      <c r="F5" s="79"/>
      <c r="G5" s="79"/>
      <c r="H5" s="79"/>
      <c r="I5" s="79"/>
    </row>
    <row r="6" spans="1:9" ht="33" customHeight="1" x14ac:dyDescent="0.25">
      <c r="B6" s="79"/>
      <c r="C6" s="79"/>
      <c r="D6" s="82"/>
      <c r="E6" s="79"/>
      <c r="F6" s="79"/>
      <c r="G6" s="79"/>
      <c r="H6" s="79"/>
      <c r="I6" s="79"/>
    </row>
    <row r="7" spans="1:9" ht="33" customHeight="1" x14ac:dyDescent="0.25">
      <c r="B7" s="79"/>
      <c r="C7" s="79"/>
      <c r="D7" s="82"/>
      <c r="E7" s="79"/>
      <c r="F7" s="79"/>
      <c r="G7" s="79"/>
      <c r="H7" s="79"/>
      <c r="I7" s="79"/>
    </row>
    <row r="8" spans="1:9" ht="33" customHeight="1" x14ac:dyDescent="0.25">
      <c r="B8" s="84"/>
      <c r="C8" s="77"/>
      <c r="D8" s="77"/>
      <c r="E8" s="77"/>
      <c r="F8" s="77"/>
      <c r="G8" s="77"/>
      <c r="H8" s="77"/>
      <c r="I8" s="77"/>
    </row>
    <row r="9" spans="1:9" ht="33" customHeight="1" x14ac:dyDescent="0.25">
      <c r="B9" s="66"/>
      <c r="C9" s="66"/>
      <c r="D9" s="66"/>
      <c r="E9" s="66"/>
      <c r="F9" s="66"/>
      <c r="G9" s="66"/>
      <c r="H9" s="66"/>
      <c r="I9" s="66"/>
    </row>
    <row r="10" spans="1:9" ht="33" customHeight="1" x14ac:dyDescent="0.25">
      <c r="B10" s="74"/>
      <c r="C10" s="68"/>
      <c r="D10" s="68"/>
      <c r="E10" s="59"/>
      <c r="F10" s="53"/>
      <c r="G10" s="74"/>
      <c r="H10" s="53"/>
      <c r="I10" s="74"/>
    </row>
    <row r="11" spans="1:9" ht="33" customHeight="1" x14ac:dyDescent="0.25">
      <c r="A11" s="23"/>
      <c r="B11" s="63"/>
      <c r="C11" s="70"/>
      <c r="D11" s="70"/>
      <c r="E11" s="64"/>
      <c r="F11" s="63"/>
      <c r="G11" s="83"/>
      <c r="H11" s="63"/>
      <c r="I11" s="83"/>
    </row>
    <row r="12" spans="1:9" ht="30" customHeight="1" x14ac:dyDescent="0.25">
      <c r="B12" s="64"/>
      <c r="C12" s="70"/>
      <c r="D12" s="70"/>
      <c r="E12" s="53"/>
      <c r="F12" s="63"/>
      <c r="G12" s="83"/>
      <c r="H12" s="63"/>
      <c r="I12" s="83"/>
    </row>
    <row r="13" spans="1:9" ht="30" customHeight="1" x14ac:dyDescent="0.25">
      <c r="B13" s="63"/>
      <c r="C13" s="70"/>
      <c r="D13" s="70"/>
      <c r="E13" s="68"/>
      <c r="F13" s="64"/>
      <c r="G13" s="83"/>
      <c r="H13" s="73"/>
      <c r="I13" s="83"/>
    </row>
    <row r="14" spans="1:9" ht="30" customHeight="1" x14ac:dyDescent="0.25">
      <c r="B14" s="63"/>
      <c r="C14" s="70"/>
      <c r="D14" s="70"/>
      <c r="E14" s="25"/>
      <c r="F14" s="63"/>
      <c r="G14" s="83"/>
      <c r="H14" s="73"/>
      <c r="I14" s="83"/>
    </row>
    <row r="15" spans="1:9" ht="30" customHeight="1" x14ac:dyDescent="0.25">
      <c r="B15" s="63"/>
      <c r="C15" s="70"/>
      <c r="D15" s="70"/>
      <c r="E15" s="64"/>
      <c r="F15" s="64"/>
      <c r="G15" s="70"/>
      <c r="I15" s="28"/>
    </row>
    <row r="16" spans="1:9" ht="30" customHeight="1" x14ac:dyDescent="0.25">
      <c r="B16" s="62"/>
      <c r="C16" s="70"/>
      <c r="D16" s="70"/>
      <c r="E16" s="64"/>
    </row>
    <row r="17" spans="2:9" ht="30" customHeight="1" x14ac:dyDescent="0.25">
      <c r="B17" s="361"/>
      <c r="C17" s="361"/>
      <c r="D17" s="361"/>
      <c r="E17" s="25"/>
      <c r="F17" s="68"/>
      <c r="G17" s="82"/>
      <c r="H17" s="68"/>
      <c r="I17" s="82"/>
    </row>
    <row r="18" spans="2:9" ht="30" customHeight="1" x14ac:dyDescent="0.25">
      <c r="B18" s="64"/>
      <c r="C18" s="70"/>
      <c r="D18" s="70"/>
      <c r="E18" s="25"/>
      <c r="F18" s="75"/>
      <c r="G18" s="70"/>
      <c r="H18" s="63"/>
      <c r="I18" s="70"/>
    </row>
    <row r="19" spans="2:9" ht="30" customHeight="1" x14ac:dyDescent="0.25">
      <c r="B19" s="64"/>
      <c r="C19" s="70"/>
      <c r="D19" s="70"/>
      <c r="E19" s="25"/>
      <c r="F19" s="75"/>
      <c r="G19" s="70"/>
      <c r="H19" s="63"/>
      <c r="I19" s="70"/>
    </row>
    <row r="20" spans="2:9" ht="30" customHeight="1" x14ac:dyDescent="0.25">
      <c r="B20" s="64"/>
      <c r="C20" s="70"/>
      <c r="D20" s="70"/>
      <c r="E20" s="59"/>
      <c r="F20" s="75"/>
      <c r="G20" s="70"/>
      <c r="H20" s="64"/>
      <c r="I20" s="70"/>
    </row>
    <row r="21" spans="2:9" ht="30" customHeight="1" x14ac:dyDescent="0.25">
      <c r="B21" s="64"/>
      <c r="C21" s="70"/>
      <c r="D21" s="70"/>
      <c r="E21" s="64"/>
      <c r="F21" s="73"/>
      <c r="G21" s="70"/>
      <c r="H21" s="73"/>
      <c r="I21" s="70"/>
    </row>
    <row r="22" spans="2:9" ht="30" customHeight="1" x14ac:dyDescent="0.25">
      <c r="B22" s="64"/>
      <c r="C22" s="70"/>
      <c r="D22" s="70"/>
      <c r="E22" s="25"/>
      <c r="F22" s="73"/>
      <c r="G22" s="70"/>
      <c r="H22" s="73"/>
      <c r="I22" s="70"/>
    </row>
    <row r="23" spans="2:9" ht="30" customHeight="1" x14ac:dyDescent="0.25">
      <c r="E23" s="25"/>
      <c r="F23" s="64"/>
      <c r="G23" s="70"/>
      <c r="H23" s="64"/>
      <c r="I23" s="28"/>
    </row>
    <row r="24" spans="2:9" ht="15" hidden="1" x14ac:dyDescent="0.25"/>
    <row r="25" spans="2:9" ht="15" hidden="1" x14ac:dyDescent="0.25"/>
    <row r="26" spans="2:9" ht="15" hidden="1" x14ac:dyDescent="0.25"/>
    <row r="27" spans="2:9" ht="15" hidden="1" x14ac:dyDescent="0.25"/>
    <row r="28" spans="2:9" ht="15" hidden="1" x14ac:dyDescent="0.25"/>
  </sheetData>
  <sheetProtection sheet="1" objects="1" scenarios="1"/>
  <mergeCells count="2">
    <mergeCell ref="B3:I3"/>
    <mergeCell ref="B17:D1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94093-BA1D-4FCB-950D-32D095CA29EE}">
  <sheetPr codeName="Sheet11"/>
  <dimension ref="A1:J116"/>
  <sheetViews>
    <sheetView showGridLines="0" topLeftCell="A61" zoomScale="80" zoomScaleNormal="80" workbookViewId="0">
      <selection activeCell="G30" sqref="G30:G64"/>
    </sheetView>
  </sheetViews>
  <sheetFormatPr defaultColWidth="0" defaultRowHeight="39.950000000000003" customHeight="1" zeroHeight="1" x14ac:dyDescent="0.25"/>
  <cols>
    <col min="1" max="1" width="8.7109375" customWidth="1"/>
    <col min="2" max="2" width="40.7109375" customWidth="1"/>
    <col min="3" max="3" width="60.7109375" customWidth="1"/>
    <col min="4" max="5" width="20.7109375" customWidth="1"/>
    <col min="6" max="6" width="40.7109375" customWidth="1"/>
    <col min="7" max="7" width="60.7109375" customWidth="1"/>
    <col min="8" max="8" width="8.7109375" customWidth="1"/>
    <col min="9" max="9" width="8.7109375" hidden="1" customWidth="1"/>
    <col min="10" max="10" width="30.7109375" hidden="1" customWidth="1"/>
    <col min="11" max="16384" width="8.7109375" hidden="1"/>
  </cols>
  <sheetData>
    <row r="1" spans="1:7" ht="39.950000000000003" customHeight="1" x14ac:dyDescent="0.25"/>
    <row r="2" spans="1:7" ht="39.950000000000003" customHeight="1" x14ac:dyDescent="0.25">
      <c r="A2" s="23">
        <v>1000</v>
      </c>
      <c r="B2" s="24"/>
      <c r="C2" s="24"/>
    </row>
    <row r="3" spans="1:7" ht="39.950000000000003" customHeight="1" x14ac:dyDescent="0.25">
      <c r="B3" s="348" t="s">
        <v>212</v>
      </c>
      <c r="C3" s="348"/>
      <c r="D3" s="348"/>
      <c r="E3" s="348"/>
      <c r="F3" s="348"/>
      <c r="G3" s="348"/>
    </row>
    <row r="4" spans="1:7" ht="39.950000000000003" customHeight="1" x14ac:dyDescent="0.25">
      <c r="B4" s="371" t="s">
        <v>213</v>
      </c>
      <c r="C4" s="371"/>
      <c r="D4" s="371"/>
      <c r="E4" s="371"/>
      <c r="F4" s="371"/>
      <c r="G4" s="371"/>
    </row>
    <row r="5" spans="1:7" ht="20.100000000000001" customHeight="1" x14ac:dyDescent="0.25">
      <c r="B5" s="63"/>
      <c r="C5" s="63"/>
      <c r="D5" s="63"/>
      <c r="E5" s="63"/>
      <c r="F5" s="63"/>
      <c r="G5" s="63"/>
    </row>
    <row r="6" spans="1:7" ht="39.950000000000003" customHeight="1" x14ac:dyDescent="0.25">
      <c r="B6" s="54" t="s">
        <v>67</v>
      </c>
      <c r="C6" s="55" t="s">
        <v>214</v>
      </c>
      <c r="D6" s="68"/>
      <c r="E6" s="68"/>
      <c r="F6" s="55" t="s">
        <v>221</v>
      </c>
      <c r="G6" s="55" t="s">
        <v>214</v>
      </c>
    </row>
    <row r="7" spans="1:7" ht="39.950000000000003" customHeight="1" x14ac:dyDescent="0.25">
      <c r="B7" s="56" t="str">
        <f>'Resultatpresentation i tabell'!C24</f>
        <v>Nordisk elmix</v>
      </c>
      <c r="C7" s="71" t="s">
        <v>594</v>
      </c>
      <c r="D7" s="28"/>
      <c r="E7" s="28"/>
      <c r="F7" s="58" t="s">
        <v>222</v>
      </c>
      <c r="G7" s="101" t="s">
        <v>589</v>
      </c>
    </row>
    <row r="8" spans="1:7" ht="39.950000000000003" customHeight="1" x14ac:dyDescent="0.25">
      <c r="B8" s="56" t="str">
        <f>'Resultatpresentation i tabell'!C25</f>
        <v>Nordisk residualmix</v>
      </c>
      <c r="C8" s="107" t="s">
        <v>494</v>
      </c>
      <c r="E8" s="28"/>
      <c r="F8" s="58" t="s">
        <v>351</v>
      </c>
      <c r="G8" s="101" t="s">
        <v>397</v>
      </c>
    </row>
    <row r="9" spans="1:7" ht="39.950000000000003" customHeight="1" x14ac:dyDescent="0.25">
      <c r="B9" s="56" t="str">
        <f>'Resultatpresentation i tabell'!C26</f>
        <v>Vattenkraft</v>
      </c>
      <c r="C9" s="107" t="s">
        <v>216</v>
      </c>
      <c r="D9" s="28"/>
      <c r="E9" s="28"/>
      <c r="F9" s="58" t="s">
        <v>223</v>
      </c>
      <c r="G9" s="101" t="s">
        <v>401</v>
      </c>
    </row>
    <row r="10" spans="1:7" ht="39.950000000000003" customHeight="1" x14ac:dyDescent="0.25">
      <c r="B10" s="56" t="str">
        <f>'Resultatpresentation i tabell'!C27</f>
        <v xml:space="preserve">Vindkraft </v>
      </c>
      <c r="C10" s="107" t="s">
        <v>476</v>
      </c>
      <c r="D10" s="28"/>
      <c r="E10" s="28"/>
      <c r="F10" s="58" t="s">
        <v>224</v>
      </c>
      <c r="G10" s="101" t="s">
        <v>590</v>
      </c>
    </row>
    <row r="11" spans="1:7" ht="39.950000000000003" customHeight="1" x14ac:dyDescent="0.25">
      <c r="B11" s="56" t="str">
        <f>'Resultatpresentation i tabell'!C28</f>
        <v>Solkraft</v>
      </c>
      <c r="C11" s="107" t="s">
        <v>386</v>
      </c>
      <c r="D11" s="28"/>
      <c r="E11" s="28"/>
      <c r="F11" s="110" t="s">
        <v>225</v>
      </c>
      <c r="G11" s="101" t="s">
        <v>226</v>
      </c>
    </row>
    <row r="12" spans="1:7" ht="39.950000000000003" customHeight="1" x14ac:dyDescent="0.25">
      <c r="B12" s="56" t="str">
        <f>'Resultatpresentation i tabell'!C29</f>
        <v>Kärnkraft</v>
      </c>
      <c r="C12" s="107" t="s">
        <v>385</v>
      </c>
      <c r="D12" s="28"/>
      <c r="E12" s="28"/>
      <c r="F12" s="234" t="s">
        <v>227</v>
      </c>
      <c r="G12" s="101" t="s">
        <v>226</v>
      </c>
    </row>
    <row r="13" spans="1:7" ht="39.950000000000003" customHeight="1" x14ac:dyDescent="0.25">
      <c r="D13" s="68"/>
      <c r="E13" s="68"/>
      <c r="F13" s="110" t="s">
        <v>228</v>
      </c>
      <c r="G13" s="101" t="s">
        <v>226</v>
      </c>
    </row>
    <row r="14" spans="1:7" ht="39.950000000000003" customHeight="1" x14ac:dyDescent="0.25">
      <c r="B14" s="55" t="s">
        <v>215</v>
      </c>
      <c r="C14" s="55" t="s">
        <v>214</v>
      </c>
      <c r="D14" s="28"/>
      <c r="E14" s="28"/>
      <c r="F14" s="71" t="s">
        <v>229</v>
      </c>
      <c r="G14" s="101" t="s">
        <v>591</v>
      </c>
    </row>
    <row r="15" spans="1:7" ht="39.950000000000003" customHeight="1" x14ac:dyDescent="0.25">
      <c r="B15" s="58" t="s">
        <v>74</v>
      </c>
      <c r="C15" s="101" t="s">
        <v>396</v>
      </c>
      <c r="D15" s="28"/>
      <c r="E15" s="28"/>
      <c r="F15" s="71" t="s">
        <v>230</v>
      </c>
      <c r="G15" s="101" t="s">
        <v>589</v>
      </c>
    </row>
    <row r="16" spans="1:7" ht="39.950000000000003" customHeight="1" x14ac:dyDescent="0.25">
      <c r="B16" s="58" t="s">
        <v>75</v>
      </c>
      <c r="C16" s="101" t="s">
        <v>395</v>
      </c>
      <c r="D16" s="28"/>
      <c r="E16" s="28"/>
      <c r="F16" s="71" t="str">
        <f>'Resultatpresentation i tabell'!G38</f>
        <v>Förbrukade membranelement</v>
      </c>
      <c r="G16" s="71" t="s">
        <v>592</v>
      </c>
    </row>
    <row r="17" spans="2:7" ht="39.950000000000003" customHeight="1" x14ac:dyDescent="0.25">
      <c r="B17" s="58" t="s">
        <v>57</v>
      </c>
      <c r="C17" s="109" t="s">
        <v>500</v>
      </c>
      <c r="D17" s="28"/>
      <c r="E17" s="28"/>
      <c r="F17" s="71" t="str">
        <f>'Resultatpresentation i tabell'!G39</f>
        <v>Förbrukad jonbytarmassa</v>
      </c>
      <c r="G17" s="71" t="s">
        <v>592</v>
      </c>
    </row>
    <row r="18" spans="2:7" ht="39.950000000000003" customHeight="1" x14ac:dyDescent="0.25">
      <c r="D18" s="28"/>
      <c r="E18" s="28"/>
    </row>
    <row r="19" spans="2:7" ht="39.950000000000003" customHeight="1" x14ac:dyDescent="0.25">
      <c r="B19" s="54" t="s">
        <v>76</v>
      </c>
      <c r="C19" s="55" t="s">
        <v>214</v>
      </c>
      <c r="D19" s="28"/>
      <c r="E19" s="28"/>
      <c r="F19" s="54" t="s">
        <v>355</v>
      </c>
      <c r="G19" s="55" t="s">
        <v>214</v>
      </c>
    </row>
    <row r="20" spans="2:7" ht="39.950000000000003" customHeight="1" x14ac:dyDescent="0.25">
      <c r="B20" s="56" t="str">
        <f>'Resultatpresentation i tabell'!C43</f>
        <v>Bensin MK1</v>
      </c>
      <c r="C20" s="136" t="s">
        <v>489</v>
      </c>
      <c r="D20" s="28"/>
      <c r="E20" s="28"/>
      <c r="F20" s="71" t="s">
        <v>231</v>
      </c>
      <c r="G20" s="101" t="str">
        <f>E90</f>
        <v>Magnusson &amp; Yngvesson (2023)</v>
      </c>
    </row>
    <row r="21" spans="2:7" ht="39.950000000000003" customHeight="1" x14ac:dyDescent="0.25">
      <c r="B21" s="56" t="str">
        <f>'Resultatpresentation i tabell'!C44</f>
        <v>E85</v>
      </c>
      <c r="C21" s="136" t="str">
        <f>C20</f>
        <v>Energimyndigheten (2025)</v>
      </c>
      <c r="D21" s="85"/>
      <c r="E21" s="85"/>
      <c r="F21" s="71" t="s">
        <v>233</v>
      </c>
      <c r="G21" s="101" t="s">
        <v>234</v>
      </c>
    </row>
    <row r="22" spans="2:7" ht="39.950000000000003" customHeight="1" x14ac:dyDescent="0.25">
      <c r="B22" s="56" t="str">
        <f>'Resultatpresentation i tabell'!C45</f>
        <v>HVO100</v>
      </c>
      <c r="C22" s="136" t="str">
        <f t="shared" ref="C22:C26" si="0">C21</f>
        <v>Energimyndigheten (2025)</v>
      </c>
      <c r="D22" s="108"/>
      <c r="E22" s="108"/>
      <c r="F22" s="71" t="s">
        <v>391</v>
      </c>
      <c r="G22" s="71" t="s">
        <v>232</v>
      </c>
    </row>
    <row r="23" spans="2:7" ht="39.950000000000003" customHeight="1" x14ac:dyDescent="0.25">
      <c r="B23" s="56" t="str">
        <f>'Resultatpresentation i tabell'!C46</f>
        <v>FAME100</v>
      </c>
      <c r="C23" s="136" t="str">
        <f t="shared" si="0"/>
        <v>Energimyndigheten (2025)</v>
      </c>
    </row>
    <row r="24" spans="2:7" ht="39.950000000000003" customHeight="1" x14ac:dyDescent="0.25">
      <c r="B24" s="56" t="str">
        <f>'Resultatpresentation i tabell'!C47</f>
        <v>LNG/LBG [kg]</v>
      </c>
      <c r="C24" s="136" t="str">
        <f t="shared" si="0"/>
        <v>Energimyndigheten (2025)</v>
      </c>
    </row>
    <row r="25" spans="2:7" ht="39.950000000000003" customHeight="1" x14ac:dyDescent="0.25">
      <c r="B25" s="71" t="s">
        <v>403</v>
      </c>
      <c r="C25" s="136" t="str">
        <f t="shared" si="0"/>
        <v>Energimyndigheten (2025)</v>
      </c>
    </row>
    <row r="26" spans="2:7" ht="39.950000000000003" customHeight="1" x14ac:dyDescent="0.25">
      <c r="B26" s="56" t="s">
        <v>404</v>
      </c>
      <c r="C26" s="136" t="str">
        <f t="shared" si="0"/>
        <v>Energimyndigheten (2025)</v>
      </c>
    </row>
    <row r="27" spans="2:7" ht="39.950000000000003" customHeight="1" x14ac:dyDescent="0.25">
      <c r="B27" s="224"/>
      <c r="C27" s="225"/>
      <c r="D27" s="165"/>
      <c r="E27" s="165"/>
      <c r="F27" s="165"/>
      <c r="G27" s="165"/>
    </row>
    <row r="28" spans="2:7" ht="39.950000000000003" customHeight="1" x14ac:dyDescent="0.25"/>
    <row r="29" spans="2:7" ht="39.950000000000003" customHeight="1" x14ac:dyDescent="0.25">
      <c r="B29" s="54" t="s">
        <v>217</v>
      </c>
      <c r="C29" s="54" t="s">
        <v>214</v>
      </c>
      <c r="F29" s="54" t="s">
        <v>198</v>
      </c>
      <c r="G29" s="54" t="s">
        <v>214</v>
      </c>
    </row>
    <row r="30" spans="2:7" ht="39.950000000000003" customHeight="1" x14ac:dyDescent="0.25">
      <c r="B30" s="71" t="s">
        <v>133</v>
      </c>
      <c r="C30" s="58" t="s">
        <v>478</v>
      </c>
      <c r="F30" s="101" t="str">
        <f>'Resultatpresentation i tabell'!H64</f>
        <v>Aktivt kol, fossilt ursprung</v>
      </c>
      <c r="G30" s="88" t="s">
        <v>378</v>
      </c>
    </row>
    <row r="31" spans="2:7" ht="39.950000000000003" customHeight="1" x14ac:dyDescent="0.25">
      <c r="B31" s="71" t="s">
        <v>134</v>
      </c>
      <c r="C31" s="58" t="s">
        <v>218</v>
      </c>
      <c r="F31" s="101" t="str">
        <f>'Resultatpresentation i tabell'!H65</f>
        <v>Aktivt kol, reaktiverat</v>
      </c>
      <c r="G31" s="101" t="s">
        <v>379</v>
      </c>
    </row>
    <row r="32" spans="2:7" ht="39.950000000000003" customHeight="1" x14ac:dyDescent="0.25">
      <c r="B32" s="71" t="s">
        <v>135</v>
      </c>
      <c r="C32" s="58" t="s">
        <v>477</v>
      </c>
      <c r="F32" s="101" t="str">
        <f>'Resultatpresentation i tabell'!H66</f>
        <v>Aktivt kol, FiltraSorb 400</v>
      </c>
      <c r="G32" s="88" t="s">
        <v>565</v>
      </c>
    </row>
    <row r="33" spans="2:7" ht="39.950000000000003" customHeight="1" x14ac:dyDescent="0.25">
      <c r="B33" s="71" t="s">
        <v>136</v>
      </c>
      <c r="C33" s="58" t="s">
        <v>479</v>
      </c>
      <c r="F33" s="101" t="str">
        <f>'Resultatpresentation i tabell'!H67</f>
        <v>Aktivt kol, FiltraSorb 400, reaktiverat</v>
      </c>
      <c r="G33" s="88" t="s">
        <v>565</v>
      </c>
    </row>
    <row r="34" spans="2:7" ht="39.950000000000003" customHeight="1" x14ac:dyDescent="0.25">
      <c r="B34" s="71" t="s">
        <v>137</v>
      </c>
      <c r="C34" s="58" t="str">
        <f>C32</f>
        <v>Schablon</v>
      </c>
      <c r="F34" s="101" t="str">
        <f>'Resultatpresentation i tabell'!H68</f>
        <v>Aktivt kol, 100% kokosnötsbaserat</v>
      </c>
      <c r="G34" s="71" t="s">
        <v>495</v>
      </c>
    </row>
    <row r="35" spans="2:7" ht="39.950000000000003" customHeight="1" x14ac:dyDescent="0.25">
      <c r="B35" s="71" t="s">
        <v>409</v>
      </c>
      <c r="C35" s="71" t="s">
        <v>410</v>
      </c>
      <c r="F35" s="101" t="str">
        <f>'Resultatpresentation i tabell'!H69</f>
        <v>Aktivt kol, Jacobi (kokosnötsbaserat)</v>
      </c>
      <c r="G35" s="88" t="s">
        <v>566</v>
      </c>
    </row>
    <row r="36" spans="2:7" ht="39.950000000000003" customHeight="1" x14ac:dyDescent="0.25">
      <c r="B36" s="71" t="s">
        <v>219</v>
      </c>
      <c r="C36" s="58" t="s">
        <v>220</v>
      </c>
      <c r="D36" s="70"/>
      <c r="E36" s="70"/>
      <c r="F36" s="101" t="str">
        <f>'Resultatpresentation i tabell'!H70</f>
        <v>Aktivt kol, Jacobi (kokosnötsbaserat), reaktiverat</v>
      </c>
      <c r="G36" s="88" t="s">
        <v>566</v>
      </c>
    </row>
    <row r="37" spans="2:7" ht="39.950000000000003" customHeight="1" x14ac:dyDescent="0.25">
      <c r="D37" s="70"/>
      <c r="E37" s="70"/>
      <c r="F37" s="101" t="str">
        <f>'Resultatpresentation i tabell'!H71</f>
        <v>Jonbytarmassa*</v>
      </c>
      <c r="G37" s="71" t="s">
        <v>593</v>
      </c>
    </row>
    <row r="38" spans="2:7" ht="39.950000000000003" customHeight="1" x14ac:dyDescent="0.25">
      <c r="B38" s="54" t="s">
        <v>201</v>
      </c>
      <c r="C38" s="54" t="s">
        <v>214</v>
      </c>
      <c r="D38" s="70"/>
      <c r="E38" s="70"/>
      <c r="F38" s="101" t="str">
        <f>'Resultatpresentation i tabell'!H72</f>
        <v>Jonbytarmassa*, 
förnybar NaOH</v>
      </c>
      <c r="G38" s="71" t="s">
        <v>593</v>
      </c>
    </row>
    <row r="39" spans="2:7" ht="39.950000000000003" customHeight="1" x14ac:dyDescent="0.25">
      <c r="B39" s="58" t="str">
        <f>'Lägg in data här för kemikalier'!C23</f>
        <v>Järnklorid (PIX-111)</v>
      </c>
      <c r="C39" s="107" t="s">
        <v>438</v>
      </c>
      <c r="F39" s="101" t="str">
        <f>'Resultatpresentation i tabell'!H73</f>
        <v>Jonbytarmassa* förnybar NaOH 
och förnybar akrylnitril</v>
      </c>
      <c r="G39" s="71" t="s">
        <v>593</v>
      </c>
    </row>
    <row r="40" spans="2:7" ht="39.950000000000003" customHeight="1" x14ac:dyDescent="0.25">
      <c r="B40" s="58" t="str">
        <f>'Lägg in data här för kemikalier'!C24</f>
        <v>Järnklorid (Plusjärn S 314)</v>
      </c>
      <c r="C40" s="107" t="s">
        <v>439</v>
      </c>
      <c r="F40" s="101" t="str">
        <f>'Resultatpresentation i tabell'!H74</f>
        <v>Sand</v>
      </c>
      <c r="G40" s="71" t="s">
        <v>405</v>
      </c>
    </row>
    <row r="41" spans="2:7" ht="39.950000000000003" customHeight="1" x14ac:dyDescent="0.25">
      <c r="B41" s="58" t="str">
        <f>'Lägg in data här för kemikalier'!C25</f>
        <v>Järnsulfat 
(tvåvärd, t.ex. Quickfloc)</v>
      </c>
      <c r="C41" s="107" t="s">
        <v>440</v>
      </c>
      <c r="D41" s="94"/>
      <c r="E41" s="94"/>
      <c r="F41" s="101" t="str">
        <f>'Resultatpresentation i tabell'!H75</f>
        <v>Bränd kalk (CaO)</v>
      </c>
      <c r="G41" s="88" t="s">
        <v>496</v>
      </c>
    </row>
    <row r="42" spans="2:7" ht="39.950000000000003" customHeight="1" x14ac:dyDescent="0.25">
      <c r="B42" s="58" t="str">
        <f>'Lägg in data här för kemikalier'!C26</f>
        <v>Järnsulfat (PIX-113)</v>
      </c>
      <c r="C42" s="107" t="s">
        <v>438</v>
      </c>
      <c r="D42" s="94"/>
      <c r="E42" s="94"/>
      <c r="F42" s="101" t="str">
        <f>'Resultatpresentation i tabell'!H76</f>
        <v>Släckt kalk (Ca(OH)2)</v>
      </c>
      <c r="G42" s="88" t="s">
        <v>497</v>
      </c>
    </row>
    <row r="43" spans="2:7" ht="39.950000000000003" customHeight="1" x14ac:dyDescent="0.25">
      <c r="B43" s="58" t="str">
        <f>'Lägg in data här för kemikalier'!C27</f>
        <v>Järnkloridsulfat (PIX-118)</v>
      </c>
      <c r="C43" s="107" t="s">
        <v>438</v>
      </c>
      <c r="D43" s="94"/>
      <c r="E43" s="94"/>
      <c r="F43" s="101" t="str">
        <f>'Resultatpresentation i tabell'!H77</f>
        <v>Kalksten (CaCO3)</v>
      </c>
      <c r="G43" s="88" t="s">
        <v>390</v>
      </c>
    </row>
    <row r="44" spans="2:7" ht="39.950000000000003" customHeight="1" x14ac:dyDescent="0.25">
      <c r="B44" s="58" t="str">
        <f>'Lägg in data här för kemikalier'!C28</f>
        <v>Aluminiumjärnklorid 
(Ekomix 1091)</v>
      </c>
      <c r="C44" s="107" t="s">
        <v>439</v>
      </c>
      <c r="D44" s="94"/>
      <c r="E44" s="94"/>
      <c r="F44" s="101" t="str">
        <f>'Resultatpresentation i tabell'!H78</f>
        <v>Natriumklorid</v>
      </c>
      <c r="G44" s="71" t="s">
        <v>498</v>
      </c>
    </row>
    <row r="45" spans="2:7" ht="39.950000000000003" customHeight="1" x14ac:dyDescent="0.25">
      <c r="B45" s="58" t="str">
        <f>'Lägg in data här för kemikalier'!C29</f>
        <v>Aluminiumsulfat (ALG)</v>
      </c>
      <c r="C45" s="107" t="s">
        <v>438</v>
      </c>
      <c r="D45" s="94"/>
      <c r="E45" s="94"/>
      <c r="F45" s="101" t="str">
        <f>'Resultatpresentation i tabell'!H79</f>
        <v>Natriumhydroxid (50%)</v>
      </c>
      <c r="G45" s="88" t="s">
        <v>492</v>
      </c>
    </row>
    <row r="46" spans="2:7" ht="39.950000000000003" customHeight="1" x14ac:dyDescent="0.25">
      <c r="B46" s="58" t="str">
        <f>'Lägg in data här för kemikalier'!C30</f>
        <v>PAC (Ekoflock 54)</v>
      </c>
      <c r="C46" s="107" t="s">
        <v>439</v>
      </c>
      <c r="D46" s="94"/>
      <c r="E46" s="94"/>
      <c r="F46" s="101" t="str">
        <f>'Resultatpresentation i tabell'!H80</f>
        <v>Natriumhydroxid (25%)</v>
      </c>
      <c r="G46" s="88" t="s">
        <v>493</v>
      </c>
    </row>
    <row r="47" spans="2:7" ht="39.950000000000003" customHeight="1" x14ac:dyDescent="0.25">
      <c r="B47" s="58" t="str">
        <f>'Lägg in data här för kemikalier'!C31</f>
        <v>PAC (Ekoflock 70)</v>
      </c>
      <c r="C47" s="107" t="s">
        <v>439</v>
      </c>
      <c r="D47" s="94"/>
      <c r="E47" s="94"/>
      <c r="F47" s="101" t="str">
        <f>'Resultatpresentation i tabell'!H81</f>
        <v xml:space="preserve">Klor </v>
      </c>
      <c r="G47" s="88" t="s">
        <v>381</v>
      </c>
    </row>
    <row r="48" spans="2:7" ht="39.950000000000003" customHeight="1" x14ac:dyDescent="0.25">
      <c r="B48" s="58" t="str">
        <f>'Lägg in data här för kemikalier'!C32</f>
        <v>PAC (Ekoflock 75)</v>
      </c>
      <c r="C48" s="107" t="s">
        <v>439</v>
      </c>
      <c r="D48" s="94"/>
      <c r="E48" s="94"/>
      <c r="F48" s="101" t="str">
        <f>'Resultatpresentation i tabell'!H82</f>
        <v>Natriumhypoklorit (50%)</v>
      </c>
      <c r="G48" s="88" t="s">
        <v>382</v>
      </c>
    </row>
    <row r="49" spans="2:7" ht="39.950000000000003" customHeight="1" x14ac:dyDescent="0.25">
      <c r="B49" s="58" t="str">
        <f>'Lägg in data här för kemikalier'!C33</f>
        <v>PAC (Ekoflock 90, 91, 92)</v>
      </c>
      <c r="C49" s="107" t="s">
        <v>439</v>
      </c>
      <c r="D49" s="94"/>
      <c r="E49" s="94"/>
      <c r="F49" s="101" t="str">
        <f>'Resultatpresentation i tabell'!H83</f>
        <v>Natriumhypoklorit (13%)</v>
      </c>
      <c r="G49" s="88" t="s">
        <v>491</v>
      </c>
    </row>
    <row r="50" spans="2:7" ht="39.950000000000003" customHeight="1" x14ac:dyDescent="0.25">
      <c r="B50" s="58" t="str">
        <f>'Lägg in data här för kemikalier'!C34</f>
        <v>PAC (Ekoflock 96)</v>
      </c>
      <c r="C50" s="107" t="s">
        <v>439</v>
      </c>
      <c r="D50" s="94"/>
      <c r="E50" s="94"/>
      <c r="F50" s="101" t="str">
        <f>'Resultatpresentation i tabell'!H84</f>
        <v>Väteperoxid (49%)</v>
      </c>
      <c r="G50" s="88" t="s">
        <v>412</v>
      </c>
    </row>
    <row r="51" spans="2:7" ht="39.950000000000003" customHeight="1" x14ac:dyDescent="0.25">
      <c r="B51" s="58" t="str">
        <f>'Lägg in data här för kemikalier'!C35</f>
        <v>PAC (Pluspac S 1465)</v>
      </c>
      <c r="C51" s="107" t="s">
        <v>439</v>
      </c>
      <c r="D51" s="94"/>
      <c r="F51" s="101" t="str">
        <f>'Resultatpresentation i tabell'!H85</f>
        <v>Svavelsyra (96%)</v>
      </c>
      <c r="G51" s="88" t="s">
        <v>443</v>
      </c>
    </row>
    <row r="52" spans="2:7" ht="39.950000000000003" customHeight="1" x14ac:dyDescent="0.25">
      <c r="B52" s="58" t="str">
        <f>'Lägg in data här för kemikalier'!C36</f>
        <v>PAC (PAX-15)</v>
      </c>
      <c r="C52" s="107" t="s">
        <v>438</v>
      </c>
      <c r="D52" s="94"/>
      <c r="F52" s="101" t="str">
        <f>'Resultatpresentation i tabell'!H86</f>
        <v>Svavelsyra (36%)</v>
      </c>
      <c r="G52" s="88" t="s">
        <v>490</v>
      </c>
    </row>
    <row r="53" spans="2:7" ht="39.950000000000003" customHeight="1" x14ac:dyDescent="0.25">
      <c r="B53" s="58" t="str">
        <f>'Lägg in data här för kemikalier'!C37</f>
        <v>PAC (PAX-215)</v>
      </c>
      <c r="C53" s="107" t="s">
        <v>438</v>
      </c>
      <c r="D53" s="94"/>
      <c r="F53" s="101" t="str">
        <f>'Resultatpresentation i tabell'!H87</f>
        <v>Saltsyra (32%)</v>
      </c>
      <c r="G53" s="88" t="s">
        <v>442</v>
      </c>
    </row>
    <row r="54" spans="2:7" ht="39.950000000000003" customHeight="1" x14ac:dyDescent="0.25">
      <c r="B54" s="58" t="str">
        <f>'Lägg in data här för kemikalier'!C38</f>
        <v>PAC (PAX-XL60)</v>
      </c>
      <c r="C54" s="107" t="s">
        <v>438</v>
      </c>
      <c r="D54" s="94"/>
      <c r="F54" s="101" t="str">
        <f>'Resultatpresentation i tabell'!H88</f>
        <v>Salpetersyra (60%)</v>
      </c>
      <c r="G54" s="88" t="s">
        <v>383</v>
      </c>
    </row>
    <row r="55" spans="2:7" ht="39.950000000000003" customHeight="1" x14ac:dyDescent="0.25">
      <c r="B55" s="58" t="str">
        <f>'Lägg in data här för kemikalier'!C39</f>
        <v>PAC (PAX-XL260)</v>
      </c>
      <c r="C55" s="107" t="s">
        <v>438</v>
      </c>
      <c r="D55" s="94"/>
      <c r="F55" s="101" t="str">
        <f>'Resultatpresentation i tabell'!H89</f>
        <v>Beläggningshämmare, 
Vitec 1141</v>
      </c>
      <c r="G55" s="88" t="s">
        <v>568</v>
      </c>
    </row>
    <row r="56" spans="2:7" ht="39.950000000000003" customHeight="1" x14ac:dyDescent="0.25">
      <c r="B56" s="58" t="str">
        <f>'Lägg in data här för kemikalier'!C40</f>
        <v>PAC (PAX-XL100)</v>
      </c>
      <c r="C56" s="107" t="s">
        <v>438</v>
      </c>
      <c r="D56" s="94"/>
      <c r="F56" s="101" t="str">
        <f>'Resultatpresentation i tabell'!H90</f>
        <v>Oxalsyra</v>
      </c>
      <c r="G56" s="88" t="s">
        <v>567</v>
      </c>
    </row>
    <row r="57" spans="2:7" ht="39.950000000000003" customHeight="1" x14ac:dyDescent="0.25">
      <c r="B57" s="227"/>
      <c r="C57" s="228"/>
      <c r="D57" s="94"/>
      <c r="F57" s="101" t="str">
        <f>'Resultatpresentation i tabell'!H91</f>
        <v>Citronsyra</v>
      </c>
      <c r="G57" s="88" t="s">
        <v>477</v>
      </c>
    </row>
    <row r="58" spans="2:7" ht="39.950000000000003" customHeight="1" x14ac:dyDescent="0.25">
      <c r="B58" s="54" t="s">
        <v>141</v>
      </c>
      <c r="C58" s="55" t="s">
        <v>214</v>
      </c>
      <c r="D58" s="94"/>
      <c r="F58" s="101" t="str">
        <f>'Resultatpresentation i tabell'!H92</f>
        <v>Syrgas</v>
      </c>
      <c r="G58" s="88" t="s">
        <v>477</v>
      </c>
    </row>
    <row r="59" spans="2:7" ht="39.950000000000003" customHeight="1" x14ac:dyDescent="0.25">
      <c r="B59" s="88" t="s">
        <v>142</v>
      </c>
      <c r="C59" s="109" t="s">
        <v>477</v>
      </c>
      <c r="D59" s="94"/>
      <c r="F59" s="101" t="str">
        <f>'Resultatpresentation i tabell'!H93</f>
        <v>Koldioxid</v>
      </c>
      <c r="G59" s="88" t="s">
        <v>477</v>
      </c>
    </row>
    <row r="60" spans="2:7" ht="39.950000000000003" customHeight="1" x14ac:dyDescent="0.25">
      <c r="B60" s="89"/>
      <c r="C60" s="132"/>
      <c r="D60" s="94"/>
      <c r="F60" s="101" t="str">
        <f>'Resultatpresentation i tabell'!H94</f>
        <v>Ammoniumsulfat</v>
      </c>
      <c r="G60" s="88" t="s">
        <v>477</v>
      </c>
    </row>
    <row r="61" spans="2:7" ht="39.950000000000003" customHeight="1" x14ac:dyDescent="0.25">
      <c r="B61" s="89"/>
      <c r="C61" s="132"/>
      <c r="D61" s="94"/>
      <c r="F61" s="101" t="str">
        <f>'Resultatpresentation i tabell'!H95</f>
        <v>Natriumsilikat</v>
      </c>
      <c r="G61" s="88" t="s">
        <v>477</v>
      </c>
    </row>
    <row r="62" spans="2:7" ht="39.950000000000003" customHeight="1" x14ac:dyDescent="0.25">
      <c r="B62" s="89"/>
      <c r="C62" s="132"/>
      <c r="D62" s="94"/>
      <c r="F62" s="101" t="str">
        <f>'Resultatpresentation i tabell'!H96</f>
        <v>Natriumkarbonat</v>
      </c>
      <c r="G62" s="88" t="s">
        <v>477</v>
      </c>
    </row>
    <row r="63" spans="2:7" ht="39.950000000000003" customHeight="1" x14ac:dyDescent="0.25">
      <c r="B63" s="89"/>
      <c r="C63" s="132"/>
      <c r="D63" s="94"/>
      <c r="F63" s="101" t="str">
        <f>'Resultatpresentation i tabell'!H97</f>
        <v>Natriumbisulfit</v>
      </c>
      <c r="G63" s="88" t="s">
        <v>477</v>
      </c>
    </row>
    <row r="64" spans="2:7" ht="39.950000000000003" customHeight="1" x14ac:dyDescent="0.25">
      <c r="B64" s="89"/>
      <c r="C64" s="132"/>
      <c r="D64" s="94"/>
      <c r="E64" s="94"/>
      <c r="F64" s="101" t="str">
        <f>'Resultatpresentation i tabell'!H98</f>
        <v>Kalciumnitrat</v>
      </c>
      <c r="G64" s="88" t="s">
        <v>477</v>
      </c>
    </row>
    <row r="65" spans="2:7" ht="39.950000000000003" customHeight="1" x14ac:dyDescent="0.25">
      <c r="B65" s="165"/>
      <c r="C65" s="165"/>
      <c r="D65" s="187"/>
      <c r="E65" s="187"/>
      <c r="F65" s="165"/>
      <c r="G65" s="165"/>
    </row>
    <row r="66" spans="2:7" ht="39.950000000000003" customHeight="1" x14ac:dyDescent="0.25">
      <c r="D66" s="94"/>
      <c r="E66" s="94"/>
    </row>
    <row r="67" spans="2:7" ht="39.950000000000003" customHeight="1" x14ac:dyDescent="0.25">
      <c r="B67" s="78" t="s">
        <v>239</v>
      </c>
      <c r="C67" s="111" t="s">
        <v>214</v>
      </c>
      <c r="D67" s="94"/>
      <c r="E67" s="94"/>
      <c r="F67" s="78" t="s">
        <v>235</v>
      </c>
      <c r="G67" s="111" t="s">
        <v>214</v>
      </c>
    </row>
    <row r="68" spans="2:7" ht="39.950000000000003" customHeight="1" x14ac:dyDescent="0.25">
      <c r="B68" s="101" t="s">
        <v>393</v>
      </c>
      <c r="C68" s="101" t="s">
        <v>394</v>
      </c>
      <c r="D68" s="94"/>
      <c r="E68" s="94"/>
      <c r="F68" s="101" t="s">
        <v>236</v>
      </c>
      <c r="G68" s="109" t="s">
        <v>237</v>
      </c>
    </row>
    <row r="69" spans="2:7" ht="39.950000000000003" customHeight="1" x14ac:dyDescent="0.25">
      <c r="B69" s="101" t="s">
        <v>61</v>
      </c>
      <c r="C69" s="107" t="str">
        <f>C7</f>
        <v>Chi Johansson &amp; Sandgren (2025)</v>
      </c>
      <c r="D69" s="94"/>
      <c r="E69" s="94"/>
      <c r="F69" s="101" t="s">
        <v>238</v>
      </c>
      <c r="G69" s="136" t="str">
        <f>C23</f>
        <v>Energimyndigheten (2025)</v>
      </c>
    </row>
    <row r="70" spans="2:7" ht="39.950000000000003" customHeight="1" x14ac:dyDescent="0.25">
      <c r="B70" s="101" t="s">
        <v>240</v>
      </c>
      <c r="C70" s="109" t="str">
        <f>C17</f>
        <v>Energiföretagen (2024)</v>
      </c>
      <c r="D70" s="94"/>
      <c r="E70" s="94"/>
    </row>
    <row r="71" spans="2:7" ht="39.950000000000003" customHeight="1" x14ac:dyDescent="0.25">
      <c r="B71" s="101" t="s">
        <v>241</v>
      </c>
      <c r="C71" s="109" t="s">
        <v>505</v>
      </c>
      <c r="D71" s="94"/>
      <c r="E71" s="94"/>
    </row>
    <row r="72" spans="2:7" ht="39.950000000000003" customHeight="1" x14ac:dyDescent="0.25">
      <c r="B72" s="101" t="s">
        <v>242</v>
      </c>
      <c r="C72" s="109" t="s">
        <v>486</v>
      </c>
      <c r="D72" s="94"/>
      <c r="E72" s="94"/>
    </row>
    <row r="73" spans="2:7" ht="39.950000000000003" customHeight="1" x14ac:dyDescent="0.25">
      <c r="B73" s="101" t="s">
        <v>243</v>
      </c>
      <c r="C73" s="109" t="s">
        <v>487</v>
      </c>
      <c r="D73" s="94"/>
      <c r="E73" s="94"/>
    </row>
    <row r="74" spans="2:7" ht="39.950000000000003" customHeight="1" x14ac:dyDescent="0.25">
      <c r="B74" s="101" t="s">
        <v>244</v>
      </c>
      <c r="C74" s="109" t="s">
        <v>245</v>
      </c>
      <c r="D74" s="94"/>
      <c r="E74" s="94"/>
    </row>
    <row r="75" spans="2:7" ht="39.950000000000003" customHeight="1" x14ac:dyDescent="0.25">
      <c r="B75" s="101" t="s">
        <v>246</v>
      </c>
      <c r="C75" s="109" t="s">
        <v>245</v>
      </c>
      <c r="D75" s="94"/>
      <c r="E75" s="94"/>
    </row>
    <row r="76" spans="2:7" ht="39.950000000000003" customHeight="1" x14ac:dyDescent="0.25">
      <c r="B76" s="71" t="s">
        <v>323</v>
      </c>
      <c r="C76" s="71" t="s">
        <v>488</v>
      </c>
      <c r="D76" s="94"/>
      <c r="E76" s="94"/>
    </row>
    <row r="77" spans="2:7" ht="39.950000000000003" customHeight="1" x14ac:dyDescent="0.25">
      <c r="B77" s="101" t="s">
        <v>485</v>
      </c>
      <c r="C77" s="71" t="s">
        <v>488</v>
      </c>
      <c r="D77" s="94"/>
      <c r="E77" s="94"/>
    </row>
    <row r="78" spans="2:7" ht="39.950000000000003" customHeight="1" x14ac:dyDescent="0.25">
      <c r="B78" s="101" t="s">
        <v>247</v>
      </c>
      <c r="C78" s="88" t="str">
        <f>G43</f>
        <v xml:space="preserve">GCC fine (malen kalksten) (CCA, 2021) </v>
      </c>
      <c r="D78" s="94"/>
      <c r="E78" s="94"/>
    </row>
    <row r="79" spans="2:7" ht="39.950000000000003" customHeight="1" x14ac:dyDescent="0.25">
      <c r="D79" s="94"/>
      <c r="E79" s="94"/>
    </row>
    <row r="80" spans="2:7" ht="39.950000000000003" customHeight="1" x14ac:dyDescent="0.25">
      <c r="B80" s="305" t="s">
        <v>248</v>
      </c>
      <c r="C80" s="305"/>
      <c r="D80" s="305"/>
      <c r="E80" s="305"/>
      <c r="F80" s="305"/>
      <c r="G80" s="305"/>
    </row>
    <row r="81" spans="2:7" ht="39.950000000000003" customHeight="1" x14ac:dyDescent="0.25">
      <c r="B81" s="370"/>
      <c r="C81" s="370"/>
      <c r="D81" s="370"/>
      <c r="E81" s="370"/>
      <c r="F81" s="370"/>
      <c r="G81" s="370"/>
    </row>
    <row r="82" spans="2:7" ht="20.100000000000001" customHeight="1" x14ac:dyDescent="0.25">
      <c r="B82" s="89"/>
      <c r="C82" s="89"/>
      <c r="D82" s="94"/>
      <c r="E82" s="94"/>
      <c r="F82" s="94"/>
      <c r="G82" s="89"/>
    </row>
    <row r="83" spans="2:7" ht="39.950000000000003" customHeight="1" x14ac:dyDescent="0.25">
      <c r="B83" s="78" t="s">
        <v>249</v>
      </c>
      <c r="C83" s="76" t="s">
        <v>250</v>
      </c>
      <c r="D83" s="76" t="s">
        <v>251</v>
      </c>
      <c r="E83" s="362" t="s">
        <v>214</v>
      </c>
      <c r="F83" s="362"/>
      <c r="G83" s="89"/>
    </row>
    <row r="84" spans="2:7" ht="39.950000000000003" customHeight="1" x14ac:dyDescent="0.25">
      <c r="B84" s="58" t="s">
        <v>252</v>
      </c>
      <c r="C84" s="71">
        <v>2.7000000000000001E-3</v>
      </c>
      <c r="D84" s="101" t="s">
        <v>253</v>
      </c>
      <c r="E84" s="363" t="s">
        <v>357</v>
      </c>
      <c r="F84" s="363"/>
      <c r="G84" s="89"/>
    </row>
    <row r="85" spans="2:7" ht="39.950000000000003" customHeight="1" x14ac:dyDescent="0.25">
      <c r="B85" s="58" t="s">
        <v>473</v>
      </c>
      <c r="C85" s="236">
        <f>0.011*1.57</f>
        <v>1.7270000000000001E-2</v>
      </c>
      <c r="D85" s="101" t="s">
        <v>475</v>
      </c>
      <c r="E85" s="364" t="s">
        <v>484</v>
      </c>
      <c r="F85" s="365"/>
      <c r="G85" s="89"/>
    </row>
    <row r="86" spans="2:7" ht="39.950000000000003" customHeight="1" x14ac:dyDescent="0.25">
      <c r="B86" s="58" t="s">
        <v>472</v>
      </c>
      <c r="C86" s="71">
        <v>1.5699999999999999E-2</v>
      </c>
      <c r="D86" s="101" t="s">
        <v>474</v>
      </c>
      <c r="E86" s="363" t="s">
        <v>254</v>
      </c>
      <c r="F86" s="363"/>
      <c r="G86" s="89"/>
    </row>
    <row r="87" spans="2:7" ht="39.950000000000003" customHeight="1" x14ac:dyDescent="0.25">
      <c r="B87" s="58" t="s">
        <v>340</v>
      </c>
      <c r="C87" s="235">
        <f>0.04*1.57</f>
        <v>6.2800000000000009E-2</v>
      </c>
      <c r="D87" s="58" t="s">
        <v>474</v>
      </c>
      <c r="E87" s="364" t="s">
        <v>255</v>
      </c>
      <c r="F87" s="365"/>
      <c r="G87" s="89"/>
    </row>
    <row r="88" spans="2:7" ht="39.950000000000003" customHeight="1" x14ac:dyDescent="0.25">
      <c r="B88" s="58" t="s">
        <v>339</v>
      </c>
      <c r="C88" s="235">
        <f>0.017*1.57</f>
        <v>2.6690000000000002E-2</v>
      </c>
      <c r="D88" s="58" t="s">
        <v>474</v>
      </c>
      <c r="E88" s="364" t="s">
        <v>255</v>
      </c>
      <c r="F88" s="365"/>
      <c r="G88" s="89"/>
    </row>
    <row r="89" spans="2:7" ht="39.950000000000003" customHeight="1" x14ac:dyDescent="0.25">
      <c r="B89" s="58" t="s">
        <v>256</v>
      </c>
      <c r="C89" s="56">
        <v>1.1000000000000001</v>
      </c>
      <c r="D89" s="58" t="s">
        <v>257</v>
      </c>
      <c r="E89" s="366" t="s">
        <v>258</v>
      </c>
      <c r="F89" s="367"/>
      <c r="G89" s="89"/>
    </row>
    <row r="90" spans="2:7" ht="39.950000000000003" customHeight="1" x14ac:dyDescent="0.25">
      <c r="B90" s="58" t="s">
        <v>371</v>
      </c>
      <c r="C90" s="71">
        <v>2.2999999999999998</v>
      </c>
      <c r="D90" s="101" t="s">
        <v>113</v>
      </c>
      <c r="E90" s="366" t="s">
        <v>408</v>
      </c>
      <c r="F90" s="367"/>
      <c r="G90" s="89"/>
    </row>
    <row r="91" spans="2:7" ht="39.950000000000003" customHeight="1" x14ac:dyDescent="0.25">
      <c r="B91" s="58" t="s">
        <v>483</v>
      </c>
      <c r="C91" s="71">
        <v>27</v>
      </c>
      <c r="D91" s="101" t="s">
        <v>259</v>
      </c>
      <c r="E91" s="364" t="s">
        <v>260</v>
      </c>
      <c r="F91" s="365"/>
      <c r="G91" s="89"/>
    </row>
    <row r="92" spans="2:7" ht="39.950000000000003" customHeight="1" x14ac:dyDescent="0.25">
      <c r="B92" s="101" t="s">
        <v>210</v>
      </c>
      <c r="C92" s="71">
        <v>6.8000000000000005E-2</v>
      </c>
      <c r="D92" s="101" t="s">
        <v>261</v>
      </c>
      <c r="E92" s="366" t="s">
        <v>232</v>
      </c>
      <c r="F92" s="367"/>
      <c r="G92" s="89"/>
    </row>
    <row r="93" spans="2:7" ht="39.950000000000003" customHeight="1" x14ac:dyDescent="0.25">
      <c r="B93" s="101" t="s">
        <v>366</v>
      </c>
      <c r="C93" s="71">
        <v>8.0000000000000002E-3</v>
      </c>
      <c r="D93" s="101" t="s">
        <v>262</v>
      </c>
      <c r="E93" s="366" t="s">
        <v>232</v>
      </c>
      <c r="F93" s="367"/>
      <c r="G93" s="89"/>
    </row>
    <row r="94" spans="2:7" ht="39.950000000000003" customHeight="1" x14ac:dyDescent="0.25">
      <c r="B94" s="101" t="s">
        <v>349</v>
      </c>
      <c r="C94" s="87">
        <v>2800</v>
      </c>
      <c r="D94" s="101" t="s">
        <v>398</v>
      </c>
      <c r="E94" s="366" t="s">
        <v>353</v>
      </c>
      <c r="F94" s="367"/>
      <c r="G94" s="89"/>
    </row>
    <row r="95" spans="2:7" ht="39.950000000000003" customHeight="1" x14ac:dyDescent="0.25">
      <c r="B95" s="101" t="s">
        <v>350</v>
      </c>
      <c r="C95" s="87">
        <v>10000</v>
      </c>
      <c r="D95" s="101" t="s">
        <v>398</v>
      </c>
      <c r="E95" s="368" t="s">
        <v>356</v>
      </c>
      <c r="F95" s="369"/>
      <c r="G95" s="89"/>
    </row>
    <row r="96" spans="2:7" ht="39.950000000000003" customHeight="1" x14ac:dyDescent="0.25">
      <c r="B96" s="101" t="s">
        <v>354</v>
      </c>
      <c r="C96" s="71">
        <v>0.8</v>
      </c>
      <c r="D96" s="101" t="s">
        <v>352</v>
      </c>
      <c r="E96" s="368" t="s">
        <v>353</v>
      </c>
      <c r="F96" s="369"/>
      <c r="G96" s="89"/>
    </row>
    <row r="97" spans="2:7" ht="39.950000000000003" customHeight="1" x14ac:dyDescent="0.25">
      <c r="B97" s="101" t="s">
        <v>595</v>
      </c>
      <c r="C97" s="71">
        <v>0.06</v>
      </c>
      <c r="D97" s="101" t="s">
        <v>598</v>
      </c>
      <c r="E97" s="368" t="s">
        <v>596</v>
      </c>
      <c r="F97" s="369"/>
      <c r="G97" s="89"/>
    </row>
    <row r="98" spans="2:7" ht="39.950000000000003" customHeight="1" x14ac:dyDescent="0.25">
      <c r="G98" s="89"/>
    </row>
    <row r="99" spans="2:7" ht="39.950000000000003" customHeight="1" x14ac:dyDescent="0.25">
      <c r="B99" s="298" t="s">
        <v>569</v>
      </c>
      <c r="C99" s="298"/>
      <c r="D99" s="298"/>
      <c r="E99" s="298"/>
      <c r="F99" s="298"/>
      <c r="G99" s="298"/>
    </row>
    <row r="100" spans="2:7" ht="39.950000000000003" customHeight="1" x14ac:dyDescent="0.25">
      <c r="B100" s="74"/>
      <c r="C100" s="74"/>
      <c r="D100" s="74"/>
      <c r="E100" s="74"/>
      <c r="F100" s="74"/>
      <c r="G100" s="74"/>
    </row>
    <row r="101" spans="2:7" ht="39.950000000000003" customHeight="1" x14ac:dyDescent="0.25">
      <c r="B101" s="54" t="s">
        <v>570</v>
      </c>
      <c r="C101" s="55" t="s">
        <v>214</v>
      </c>
      <c r="D101" s="74"/>
      <c r="E101" s="74"/>
      <c r="F101" s="74"/>
      <c r="G101" s="74"/>
    </row>
    <row r="102" spans="2:7" ht="39.950000000000003" customHeight="1" x14ac:dyDescent="0.25">
      <c r="B102" s="88" t="s">
        <v>571</v>
      </c>
      <c r="C102" s="88" t="s">
        <v>572</v>
      </c>
      <c r="D102" s="74"/>
      <c r="E102" s="74"/>
      <c r="F102" s="74"/>
      <c r="G102" s="74"/>
    </row>
    <row r="103" spans="2:7" ht="39.950000000000003" customHeight="1" x14ac:dyDescent="0.25">
      <c r="B103" s="259" t="s">
        <v>551</v>
      </c>
      <c r="C103" s="259" t="s">
        <v>573</v>
      </c>
      <c r="D103" s="74"/>
      <c r="E103" s="74"/>
      <c r="F103" s="74"/>
      <c r="G103" s="74"/>
    </row>
    <row r="104" spans="2:7" ht="39.950000000000003" customHeight="1" x14ac:dyDescent="0.25">
      <c r="B104" s="259" t="s">
        <v>552</v>
      </c>
      <c r="C104" s="259" t="s">
        <v>573</v>
      </c>
      <c r="G104" s="89"/>
    </row>
    <row r="105" spans="2:7" ht="39.950000000000003" customHeight="1" x14ac:dyDescent="0.25">
      <c r="B105" s="89"/>
      <c r="C105" s="63"/>
      <c r="D105" s="38"/>
      <c r="E105" s="38"/>
      <c r="F105" s="62"/>
      <c r="G105" s="89"/>
    </row>
    <row r="106" spans="2:7" ht="39.950000000000003" customHeight="1" x14ac:dyDescent="0.25">
      <c r="B106" s="298" t="s">
        <v>384</v>
      </c>
      <c r="C106" s="298"/>
      <c r="D106" s="298"/>
      <c r="E106" s="298"/>
      <c r="F106" s="298"/>
      <c r="G106" s="298"/>
    </row>
    <row r="107" spans="2:7" ht="39.950000000000003" customHeight="1" x14ac:dyDescent="0.25">
      <c r="B107" s="89"/>
      <c r="F107" s="62"/>
      <c r="G107" s="89"/>
    </row>
    <row r="108" spans="2:7" ht="39.950000000000003" customHeight="1" x14ac:dyDescent="0.25">
      <c r="B108" s="71" t="s">
        <v>263</v>
      </c>
      <c r="C108" s="71">
        <v>1</v>
      </c>
      <c r="D108" s="71" t="s">
        <v>264</v>
      </c>
      <c r="F108" s="62"/>
      <c r="G108" s="89"/>
    </row>
    <row r="109" spans="2:7" ht="39.950000000000003" customHeight="1" x14ac:dyDescent="0.25">
      <c r="B109" s="71" t="s">
        <v>402</v>
      </c>
      <c r="C109" s="71">
        <v>27</v>
      </c>
      <c r="D109" s="71" t="s">
        <v>264</v>
      </c>
      <c r="F109" s="62"/>
      <c r="G109" s="89"/>
    </row>
    <row r="110" spans="2:7" ht="39.950000000000003" customHeight="1" x14ac:dyDescent="0.25">
      <c r="B110" s="71" t="s">
        <v>265</v>
      </c>
      <c r="C110" s="71">
        <v>273</v>
      </c>
      <c r="D110" s="71" t="s">
        <v>264</v>
      </c>
      <c r="F110" s="62"/>
      <c r="G110" s="89"/>
    </row>
    <row r="111" spans="2:7" ht="39.950000000000003" customHeight="1" x14ac:dyDescent="0.25">
      <c r="F111" s="94"/>
      <c r="G111" s="28"/>
    </row>
    <row r="112" spans="2:7"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sheetData>
  <sheetProtection sheet="1" objects="1" scenarios="1"/>
  <mergeCells count="21">
    <mergeCell ref="E94:F94"/>
    <mergeCell ref="E95:F95"/>
    <mergeCell ref="B81:G81"/>
    <mergeCell ref="B106:G106"/>
    <mergeCell ref="B4:G4"/>
    <mergeCell ref="E87:F87"/>
    <mergeCell ref="E88:F88"/>
    <mergeCell ref="E89:F89"/>
    <mergeCell ref="E90:F90"/>
    <mergeCell ref="E91:F91"/>
    <mergeCell ref="E92:F92"/>
    <mergeCell ref="E93:F93"/>
    <mergeCell ref="E96:F96"/>
    <mergeCell ref="B99:G99"/>
    <mergeCell ref="E97:F97"/>
    <mergeCell ref="B3:G3"/>
    <mergeCell ref="B80:G80"/>
    <mergeCell ref="E83:F83"/>
    <mergeCell ref="E84:F84"/>
    <mergeCell ref="E86:F86"/>
    <mergeCell ref="E85:F8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4C5BE-5E14-410F-B89D-887F6BBD719E}">
  <sheetPr codeName="Sheet12"/>
  <dimension ref="A1:H58"/>
  <sheetViews>
    <sheetView showGridLines="0" zoomScale="90" zoomScaleNormal="90" workbookViewId="0">
      <selection activeCell="C8" sqref="C8"/>
    </sheetView>
  </sheetViews>
  <sheetFormatPr defaultColWidth="0" defaultRowHeight="15" zeroHeight="1" x14ac:dyDescent="0.25"/>
  <cols>
    <col min="1" max="2" width="9.140625" customWidth="1"/>
    <col min="3" max="3" width="105" customWidth="1"/>
    <col min="4" max="5" width="9.140625" customWidth="1"/>
    <col min="6" max="15" width="9.140625" hidden="1" customWidth="1"/>
    <col min="16" max="16384" width="9.140625" hidden="1"/>
  </cols>
  <sheetData>
    <row r="1" spans="3:8" x14ac:dyDescent="0.25"/>
    <row r="2" spans="3:8" x14ac:dyDescent="0.25">
      <c r="H2" t="s">
        <v>506</v>
      </c>
    </row>
    <row r="3" spans="3:8" x14ac:dyDescent="0.25">
      <c r="C3" s="360" t="s">
        <v>506</v>
      </c>
    </row>
    <row r="4" spans="3:8" x14ac:dyDescent="0.25">
      <c r="C4" s="360"/>
    </row>
    <row r="5" spans="3:8" x14ac:dyDescent="0.25"/>
    <row r="6" spans="3:8" ht="18.75" x14ac:dyDescent="0.25">
      <c r="C6" s="238" t="s">
        <v>576</v>
      </c>
    </row>
    <row r="7" spans="3:8" x14ac:dyDescent="0.25"/>
    <row r="8" spans="3:8" x14ac:dyDescent="0.25">
      <c r="C8" t="s">
        <v>602</v>
      </c>
    </row>
    <row r="9" spans="3:8" x14ac:dyDescent="0.25">
      <c r="C9" t="s">
        <v>605</v>
      </c>
    </row>
    <row r="10" spans="3:8" x14ac:dyDescent="0.25">
      <c r="C10" s="237" t="s">
        <v>603</v>
      </c>
    </row>
    <row r="11" spans="3:8" x14ac:dyDescent="0.25">
      <c r="C11" t="s">
        <v>604</v>
      </c>
    </row>
    <row r="12" spans="3:8" x14ac:dyDescent="0.25">
      <c r="C12" t="s">
        <v>606</v>
      </c>
    </row>
    <row r="13" spans="3:8" x14ac:dyDescent="0.25">
      <c r="C13" t="s">
        <v>607</v>
      </c>
    </row>
    <row r="14" spans="3:8" x14ac:dyDescent="0.25"/>
    <row r="15" spans="3:8" ht="27.95" customHeight="1" x14ac:dyDescent="0.25">
      <c r="C15" s="238" t="s">
        <v>509</v>
      </c>
    </row>
    <row r="16" spans="3:8" x14ac:dyDescent="0.25"/>
    <row r="17" spans="3:3" x14ac:dyDescent="0.25">
      <c r="C17" t="s">
        <v>529</v>
      </c>
    </row>
    <row r="18" spans="3:3" x14ac:dyDescent="0.25">
      <c r="C18" t="s">
        <v>524</v>
      </c>
    </row>
    <row r="19" spans="3:3" x14ac:dyDescent="0.25">
      <c r="C19" t="s">
        <v>530</v>
      </c>
    </row>
    <row r="20" spans="3:3" x14ac:dyDescent="0.25">
      <c r="C20" s="237" t="s">
        <v>510</v>
      </c>
    </row>
    <row r="21" spans="3:3" x14ac:dyDescent="0.25">
      <c r="C21" t="s">
        <v>523</v>
      </c>
    </row>
    <row r="22" spans="3:3" x14ac:dyDescent="0.25">
      <c r="C22" t="s">
        <v>512</v>
      </c>
    </row>
    <row r="23" spans="3:3" x14ac:dyDescent="0.25">
      <c r="C23" t="s">
        <v>513</v>
      </c>
    </row>
    <row r="24" spans="3:3" x14ac:dyDescent="0.25">
      <c r="C24" t="s">
        <v>528</v>
      </c>
    </row>
    <row r="25" spans="3:3" x14ac:dyDescent="0.25">
      <c r="C25" t="s">
        <v>525</v>
      </c>
    </row>
    <row r="26" spans="3:3" x14ac:dyDescent="0.25">
      <c r="C26" t="s">
        <v>526</v>
      </c>
    </row>
    <row r="27" spans="3:3" x14ac:dyDescent="0.25">
      <c r="C27" t="s">
        <v>527</v>
      </c>
    </row>
    <row r="28" spans="3:3" x14ac:dyDescent="0.25">
      <c r="C28" t="s">
        <v>531</v>
      </c>
    </row>
    <row r="29" spans="3:3" x14ac:dyDescent="0.25"/>
    <row r="30" spans="3:3" ht="27.95" customHeight="1" x14ac:dyDescent="0.25">
      <c r="C30" s="238" t="s">
        <v>507</v>
      </c>
    </row>
    <row r="31" spans="3:3" x14ac:dyDescent="0.25"/>
    <row r="32" spans="3:3" x14ac:dyDescent="0.25">
      <c r="C32" t="s">
        <v>514</v>
      </c>
    </row>
    <row r="33" spans="3:3" x14ac:dyDescent="0.25">
      <c r="C33" s="237" t="s">
        <v>510</v>
      </c>
    </row>
    <row r="34" spans="3:3" x14ac:dyDescent="0.25">
      <c r="C34" t="s">
        <v>201</v>
      </c>
    </row>
    <row r="35" spans="3:3" x14ac:dyDescent="0.25">
      <c r="C35" t="s">
        <v>511</v>
      </c>
    </row>
    <row r="36" spans="3:3" x14ac:dyDescent="0.25">
      <c r="C36" t="s">
        <v>512</v>
      </c>
    </row>
    <row r="37" spans="3:3" x14ac:dyDescent="0.25">
      <c r="C37" t="s">
        <v>513</v>
      </c>
    </row>
    <row r="38" spans="3:3" x14ac:dyDescent="0.25">
      <c r="C38" t="s">
        <v>532</v>
      </c>
    </row>
    <row r="39" spans="3:3" x14ac:dyDescent="0.25"/>
    <row r="40" spans="3:3" ht="27.95" customHeight="1" x14ac:dyDescent="0.25">
      <c r="C40" s="238" t="s">
        <v>508</v>
      </c>
    </row>
    <row r="41" spans="3:3" x14ac:dyDescent="0.25"/>
    <row r="42" spans="3:3" x14ac:dyDescent="0.25">
      <c r="C42" t="s">
        <v>516</v>
      </c>
    </row>
    <row r="43" spans="3:3" x14ac:dyDescent="0.25">
      <c r="C43" t="s">
        <v>517</v>
      </c>
    </row>
    <row r="44" spans="3:3" x14ac:dyDescent="0.25">
      <c r="C44" t="s">
        <v>518</v>
      </c>
    </row>
    <row r="45" spans="3:3" x14ac:dyDescent="0.25">
      <c r="C45" t="s">
        <v>519</v>
      </c>
    </row>
    <row r="46" spans="3:3" x14ac:dyDescent="0.25">
      <c r="C46" t="s">
        <v>533</v>
      </c>
    </row>
    <row r="47" spans="3:3" x14ac:dyDescent="0.25">
      <c r="C47" t="s">
        <v>520</v>
      </c>
    </row>
    <row r="48" spans="3:3" x14ac:dyDescent="0.25">
      <c r="C48" t="s">
        <v>534</v>
      </c>
    </row>
    <row r="49" spans="3:3" x14ac:dyDescent="0.25">
      <c r="C49" s="237" t="s">
        <v>515</v>
      </c>
    </row>
    <row r="50" spans="3:3" x14ac:dyDescent="0.25">
      <c r="C50" t="s">
        <v>512</v>
      </c>
    </row>
    <row r="51" spans="3:3" x14ac:dyDescent="0.25">
      <c r="C51" t="s">
        <v>513</v>
      </c>
    </row>
    <row r="52" spans="3:3" x14ac:dyDescent="0.25">
      <c r="C52" t="s">
        <v>521</v>
      </c>
    </row>
    <row r="53" spans="3:3" x14ac:dyDescent="0.25">
      <c r="C53" t="s">
        <v>526</v>
      </c>
    </row>
    <row r="54" spans="3:3" x14ac:dyDescent="0.25">
      <c r="C54" t="s">
        <v>522</v>
      </c>
    </row>
    <row r="55" spans="3:3" x14ac:dyDescent="0.25"/>
    <row r="56" spans="3:3" x14ac:dyDescent="0.25"/>
    <row r="57" spans="3:3" x14ac:dyDescent="0.25"/>
    <row r="58" spans="3:3" x14ac:dyDescent="0.25"/>
  </sheetData>
  <sheetProtection sheet="1" objects="1" scenarios="1"/>
  <mergeCells count="1">
    <mergeCell ref="C3:C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701D-5514-410D-ABF1-DE1093039C1C}">
  <sheetPr codeName="Sheet13"/>
  <dimension ref="A1:Q27"/>
  <sheetViews>
    <sheetView showGridLines="0" topLeftCell="A2" zoomScale="80" zoomScaleNormal="80" workbookViewId="0">
      <selection activeCell="F8" sqref="F8"/>
    </sheetView>
  </sheetViews>
  <sheetFormatPr defaultColWidth="0" defaultRowHeight="0" customHeight="1" zeroHeight="1" x14ac:dyDescent="0.25"/>
  <cols>
    <col min="1" max="1" width="8.7109375" customWidth="1"/>
    <col min="2" max="9" width="25.7109375" customWidth="1"/>
    <col min="10" max="10" width="8.7109375" customWidth="1"/>
    <col min="11" max="17" width="0" hidden="1" customWidth="1"/>
    <col min="18" max="16384" width="8.7109375" hidden="1"/>
  </cols>
  <sheetData>
    <row r="1" spans="1:9" ht="15" hidden="1" x14ac:dyDescent="0.25"/>
    <row r="2" spans="1:9" ht="33" customHeight="1" x14ac:dyDescent="0.25">
      <c r="B2" s="24"/>
    </row>
    <row r="3" spans="1:9" ht="33" customHeight="1" x14ac:dyDescent="0.25">
      <c r="B3" s="372" t="s">
        <v>284</v>
      </c>
      <c r="C3" s="372"/>
      <c r="D3" s="372"/>
      <c r="E3" s="372"/>
      <c r="F3" s="372"/>
      <c r="G3" s="372"/>
      <c r="H3" s="372"/>
      <c r="I3" s="372"/>
    </row>
    <row r="4" spans="1:9" ht="33" customHeight="1" x14ac:dyDescent="0.25">
      <c r="B4" s="162"/>
      <c r="C4" s="262" t="s">
        <v>285</v>
      </c>
      <c r="D4" s="262"/>
      <c r="E4" s="262"/>
      <c r="F4" s="262"/>
      <c r="G4" s="262"/>
      <c r="H4" s="262"/>
      <c r="I4" s="162"/>
    </row>
    <row r="5" spans="1:9" ht="33" customHeight="1" x14ac:dyDescent="0.25">
      <c r="B5" s="188"/>
      <c r="C5" s="189"/>
      <c r="D5" s="190"/>
      <c r="E5" s="189"/>
      <c r="F5" s="189"/>
      <c r="G5" s="189"/>
      <c r="H5" s="189"/>
      <c r="I5" s="191"/>
    </row>
    <row r="6" spans="1:9" ht="33" customHeight="1" x14ac:dyDescent="0.25">
      <c r="B6" s="192"/>
      <c r="C6" s="193"/>
      <c r="D6" s="194"/>
      <c r="E6" s="193"/>
      <c r="F6" s="193"/>
      <c r="G6" s="193"/>
      <c r="H6" s="193"/>
      <c r="I6" s="195"/>
    </row>
    <row r="7" spans="1:9" ht="33" customHeight="1" x14ac:dyDescent="0.25">
      <c r="B7" s="192"/>
      <c r="C7" s="193"/>
      <c r="D7" s="194"/>
      <c r="E7" s="193"/>
      <c r="F7" s="193"/>
      <c r="G7" s="193"/>
      <c r="H7" s="193"/>
      <c r="I7" s="195"/>
    </row>
    <row r="8" spans="1:9" ht="33" customHeight="1" x14ac:dyDescent="0.25">
      <c r="B8" s="196"/>
      <c r="C8" s="193"/>
      <c r="D8" s="193"/>
      <c r="E8" s="193"/>
      <c r="F8" s="193"/>
      <c r="G8" s="193"/>
      <c r="H8" s="193"/>
      <c r="I8" s="195"/>
    </row>
    <row r="9" spans="1:9" ht="33" customHeight="1" x14ac:dyDescent="0.25">
      <c r="B9" s="197"/>
      <c r="C9" s="198"/>
      <c r="D9" s="198"/>
      <c r="E9" s="198"/>
      <c r="F9" s="198"/>
      <c r="G9" s="198"/>
      <c r="H9" s="198"/>
      <c r="I9" s="199"/>
    </row>
    <row r="10" spans="1:9" ht="33" customHeight="1" x14ac:dyDescent="0.25">
      <c r="B10" s="200"/>
      <c r="C10" s="201"/>
      <c r="D10" s="201"/>
      <c r="E10" s="202"/>
      <c r="F10" s="201"/>
      <c r="G10" s="194"/>
      <c r="H10" s="201"/>
      <c r="I10" s="203"/>
    </row>
    <row r="11" spans="1:9" ht="33" customHeight="1" x14ac:dyDescent="0.25">
      <c r="A11" s="23"/>
      <c r="B11" s="204"/>
      <c r="C11" s="194"/>
      <c r="D11" s="194"/>
      <c r="E11" s="201"/>
      <c r="F11" s="201"/>
      <c r="G11" s="205"/>
      <c r="H11" s="201"/>
      <c r="I11" s="206"/>
    </row>
    <row r="12" spans="1:9" ht="30" customHeight="1" x14ac:dyDescent="0.25">
      <c r="B12" s="204"/>
      <c r="C12" s="194"/>
      <c r="D12" s="194"/>
      <c r="E12" s="201"/>
      <c r="F12" s="201"/>
      <c r="G12" s="205"/>
      <c r="H12" s="201"/>
      <c r="I12" s="206"/>
    </row>
    <row r="13" spans="1:9" ht="30" customHeight="1" x14ac:dyDescent="0.25">
      <c r="B13" s="204"/>
      <c r="C13" s="194"/>
      <c r="D13" s="194"/>
      <c r="E13" s="201"/>
      <c r="F13" s="201"/>
      <c r="G13" s="205"/>
      <c r="H13" s="207"/>
      <c r="I13" s="206"/>
    </row>
    <row r="14" spans="1:9" ht="30" customHeight="1" x14ac:dyDescent="0.25">
      <c r="B14" s="204"/>
      <c r="C14" s="194"/>
      <c r="D14" s="194"/>
      <c r="E14" s="208"/>
      <c r="F14" s="201"/>
      <c r="G14" s="205"/>
      <c r="H14" s="207"/>
      <c r="I14" s="206"/>
    </row>
    <row r="15" spans="1:9" ht="30" customHeight="1" x14ac:dyDescent="0.25">
      <c r="B15" s="204"/>
      <c r="C15" s="194"/>
      <c r="D15" s="194"/>
      <c r="E15" s="201"/>
      <c r="F15" s="201"/>
      <c r="G15" s="194"/>
      <c r="H15" s="205"/>
      <c r="I15" s="209"/>
    </row>
    <row r="16" spans="1:9" ht="30" customHeight="1" x14ac:dyDescent="0.25">
      <c r="B16" s="210"/>
      <c r="C16" s="194"/>
      <c r="D16" s="194"/>
      <c r="E16" s="201"/>
      <c r="F16" s="205"/>
      <c r="G16" s="205"/>
      <c r="H16" s="205"/>
      <c r="I16" s="206"/>
    </row>
    <row r="17" spans="2:9" ht="30" customHeight="1" x14ac:dyDescent="0.25">
      <c r="B17" s="211"/>
      <c r="C17" s="212"/>
      <c r="D17" s="212"/>
      <c r="E17" s="208"/>
      <c r="F17" s="201"/>
      <c r="G17" s="194"/>
      <c r="H17" s="201"/>
      <c r="I17" s="203"/>
    </row>
    <row r="18" spans="2:9" ht="30" customHeight="1" x14ac:dyDescent="0.25">
      <c r="B18" s="204"/>
      <c r="C18" s="194"/>
      <c r="D18" s="194"/>
      <c r="E18" s="208"/>
      <c r="F18" s="213"/>
      <c r="G18" s="194"/>
      <c r="H18" s="201"/>
      <c r="I18" s="203"/>
    </row>
    <row r="19" spans="2:9" ht="30" customHeight="1" x14ac:dyDescent="0.25">
      <c r="B19" s="204"/>
      <c r="C19" s="194"/>
      <c r="D19" s="194"/>
      <c r="E19" s="202"/>
      <c r="F19" s="213"/>
      <c r="G19" s="194"/>
      <c r="H19" s="201"/>
      <c r="I19" s="203"/>
    </row>
    <row r="20" spans="2:9" ht="30" customHeight="1" x14ac:dyDescent="0.25">
      <c r="B20" s="204"/>
      <c r="C20" s="194"/>
      <c r="D20" s="194"/>
      <c r="E20" s="201"/>
      <c r="F20" s="207"/>
      <c r="G20" s="194"/>
      <c r="H20" s="207"/>
      <c r="I20" s="203"/>
    </row>
    <row r="21" spans="2:9" ht="30" customHeight="1" x14ac:dyDescent="0.25">
      <c r="B21" s="214"/>
      <c r="C21" s="215"/>
      <c r="D21" s="215"/>
      <c r="E21" s="216"/>
      <c r="F21" s="217"/>
      <c r="G21" s="215"/>
      <c r="H21" s="217"/>
      <c r="I21" s="218"/>
    </row>
    <row r="22" spans="2:9" ht="30" customHeight="1" x14ac:dyDescent="0.25">
      <c r="E22" s="25"/>
      <c r="F22" s="64"/>
      <c r="G22" s="70"/>
      <c r="H22" s="64"/>
      <c r="I22" s="28"/>
    </row>
    <row r="23" spans="2:9" ht="15" hidden="1" x14ac:dyDescent="0.25"/>
    <row r="24" spans="2:9" ht="15" hidden="1" x14ac:dyDescent="0.25"/>
    <row r="25" spans="2:9" ht="15" hidden="1" x14ac:dyDescent="0.25"/>
    <row r="26" spans="2:9" ht="15" hidden="1" x14ac:dyDescent="0.25"/>
    <row r="27" spans="2:9" ht="15" hidden="1" x14ac:dyDescent="0.25"/>
  </sheetData>
  <sheetProtection sheet="1" objects="1" scenarios="1"/>
  <mergeCells count="2">
    <mergeCell ref="B3:I3"/>
    <mergeCell ref="C4:H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2ECF-50B0-43C6-ACEA-D11FE51DA3D8}">
  <sheetPr codeName="Sheet14"/>
  <dimension ref="D3:D4"/>
  <sheetViews>
    <sheetView workbookViewId="0">
      <selection activeCell="D4" sqref="D4"/>
    </sheetView>
  </sheetViews>
  <sheetFormatPr defaultRowHeight="15" x14ac:dyDescent="0.25"/>
  <sheetData>
    <row r="3" spans="4:4" x14ac:dyDescent="0.25">
      <c r="D3" t="s">
        <v>34</v>
      </c>
    </row>
    <row r="4" spans="4:4" x14ac:dyDescent="0.25">
      <c r="D4" t="s">
        <v>266</v>
      </c>
    </row>
  </sheetData>
  <phoneticPr fontId="3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D4DA-28A5-4A9D-80A8-DF80EFB8BCD4}">
  <sheetPr codeName="Sheet2"/>
  <dimension ref="A1:P57"/>
  <sheetViews>
    <sheetView showGridLines="0" showRowColHeaders="0" topLeftCell="A2" zoomScale="85" zoomScaleNormal="85" workbookViewId="0">
      <selection activeCell="I11" sqref="I11"/>
    </sheetView>
  </sheetViews>
  <sheetFormatPr defaultColWidth="0" defaultRowHeight="0" customHeight="1" zeroHeight="1" x14ac:dyDescent="0.25"/>
  <cols>
    <col min="1" max="1" width="8.7109375" customWidth="1"/>
    <col min="2" max="13" width="25.7109375" customWidth="1"/>
    <col min="14" max="14" width="8.7109375" customWidth="1"/>
    <col min="15" max="16" width="0" hidden="1" customWidth="1"/>
    <col min="17" max="16384" width="8.7109375" hidden="1"/>
  </cols>
  <sheetData>
    <row r="1" spans="1:13" ht="15" hidden="1" x14ac:dyDescent="0.25"/>
    <row r="2" spans="1:13" ht="33" customHeight="1" x14ac:dyDescent="0.25">
      <c r="C2" s="24"/>
    </row>
    <row r="3" spans="1:13" ht="33" customHeight="1" x14ac:dyDescent="0.25">
      <c r="B3" s="276" t="s">
        <v>15</v>
      </c>
      <c r="C3" s="277"/>
      <c r="D3" s="277"/>
      <c r="E3" s="277"/>
      <c r="F3" s="277"/>
      <c r="G3" s="277"/>
      <c r="H3" s="277"/>
      <c r="I3" s="277"/>
      <c r="J3" s="277"/>
      <c r="K3" s="277"/>
      <c r="L3" s="277"/>
      <c r="M3" s="277"/>
    </row>
    <row r="4" spans="1:13" ht="33" customHeight="1" x14ac:dyDescent="0.25">
      <c r="B4" s="278" t="s">
        <v>16</v>
      </c>
      <c r="C4" s="278"/>
      <c r="D4" s="278"/>
      <c r="E4" s="278"/>
      <c r="F4" s="278"/>
      <c r="G4" s="278"/>
      <c r="H4" s="278"/>
      <c r="I4" s="278"/>
      <c r="J4" s="278"/>
      <c r="K4" s="278"/>
      <c r="L4" s="278"/>
      <c r="M4" s="278"/>
    </row>
    <row r="5" spans="1:13" ht="33" customHeight="1" x14ac:dyDescent="0.25"/>
    <row r="6" spans="1:13" ht="33" customHeight="1" x14ac:dyDescent="0.25">
      <c r="A6" s="23"/>
      <c r="B6" s="282" t="s">
        <v>17</v>
      </c>
      <c r="C6" s="282"/>
      <c r="D6" s="282"/>
      <c r="E6" s="59"/>
      <c r="F6" s="282" t="s">
        <v>18</v>
      </c>
      <c r="G6" s="282"/>
      <c r="H6" s="282"/>
      <c r="I6" s="59"/>
      <c r="J6" s="282" t="s">
        <v>19</v>
      </c>
      <c r="K6" s="282"/>
      <c r="L6" s="282"/>
      <c r="M6" s="59"/>
    </row>
    <row r="7" spans="1:13" ht="30" customHeight="1" x14ac:dyDescent="0.25">
      <c r="B7" s="279" t="s">
        <v>20</v>
      </c>
      <c r="C7" s="279"/>
      <c r="D7" s="279"/>
      <c r="E7" s="53"/>
      <c r="F7" s="279" t="s">
        <v>21</v>
      </c>
      <c r="G7" s="279"/>
      <c r="H7" s="279"/>
      <c r="I7" s="53"/>
      <c r="J7" s="279" t="s">
        <v>22</v>
      </c>
      <c r="K7" s="279"/>
      <c r="L7" s="279"/>
      <c r="M7" s="53"/>
    </row>
    <row r="8" spans="1:13" ht="30" customHeight="1" x14ac:dyDescent="0.25">
      <c r="B8" s="281"/>
      <c r="C8" s="281"/>
      <c r="D8" s="281"/>
      <c r="F8" s="281"/>
      <c r="G8" s="281"/>
      <c r="H8" s="281"/>
      <c r="J8" s="280"/>
      <c r="K8" s="280"/>
      <c r="L8" s="280"/>
      <c r="M8" s="27"/>
    </row>
    <row r="9" spans="1:13" ht="30" customHeight="1" x14ac:dyDescent="0.25">
      <c r="B9" s="54" t="s">
        <v>23</v>
      </c>
      <c r="C9" s="55" t="s">
        <v>24</v>
      </c>
      <c r="D9" s="55" t="s">
        <v>25</v>
      </c>
      <c r="E9" s="25"/>
      <c r="F9" s="54" t="s">
        <v>26</v>
      </c>
      <c r="G9" s="55" t="s">
        <v>27</v>
      </c>
      <c r="H9" s="55" t="s">
        <v>28</v>
      </c>
      <c r="I9" s="27"/>
      <c r="J9" s="54" t="s">
        <v>29</v>
      </c>
      <c r="K9" s="55" t="s">
        <v>30</v>
      </c>
      <c r="L9" s="55" t="s">
        <v>31</v>
      </c>
      <c r="M9" s="28"/>
    </row>
    <row r="10" spans="1:13" ht="30" customHeight="1" x14ac:dyDescent="0.25">
      <c r="B10" s="56" t="s">
        <v>32</v>
      </c>
      <c r="C10" s="56">
        <v>2.8719999999999999</v>
      </c>
      <c r="D10" s="57"/>
      <c r="E10" s="25"/>
      <c r="F10" s="56" t="s">
        <v>33</v>
      </c>
      <c r="G10" s="60"/>
      <c r="H10" s="61"/>
      <c r="I10" s="28"/>
      <c r="J10" s="56" t="s">
        <v>34</v>
      </c>
      <c r="K10" s="60"/>
      <c r="L10" s="61"/>
      <c r="M10" s="28"/>
    </row>
    <row r="11" spans="1:13" ht="30" customHeight="1" x14ac:dyDescent="0.25">
      <c r="B11" s="56" t="s">
        <v>35</v>
      </c>
      <c r="C11" s="56">
        <v>2.7080000000000002</v>
      </c>
      <c r="D11" s="57"/>
      <c r="E11" s="25"/>
      <c r="F11" s="56" t="s">
        <v>36</v>
      </c>
      <c r="G11" s="60"/>
      <c r="H11" s="61"/>
      <c r="I11" s="28"/>
      <c r="J11" s="58" t="s">
        <v>37</v>
      </c>
      <c r="K11" s="60"/>
      <c r="L11" s="61"/>
      <c r="M11" s="28"/>
    </row>
    <row r="12" spans="1:13" ht="30" customHeight="1" x14ac:dyDescent="0.25">
      <c r="B12" s="56" t="s">
        <v>38</v>
      </c>
      <c r="C12" s="56">
        <v>3.395</v>
      </c>
      <c r="D12" s="57"/>
      <c r="E12" s="25"/>
      <c r="F12" s="56" t="s">
        <v>39</v>
      </c>
      <c r="G12" s="60"/>
      <c r="H12" s="61"/>
      <c r="I12" s="28"/>
      <c r="J12" s="56" t="s">
        <v>40</v>
      </c>
      <c r="K12" s="60"/>
      <c r="L12" s="61"/>
      <c r="M12" s="28"/>
    </row>
    <row r="13" spans="1:13" ht="30" customHeight="1" x14ac:dyDescent="0.25">
      <c r="B13" s="56" t="s">
        <v>41</v>
      </c>
      <c r="C13" s="56">
        <v>1.127</v>
      </c>
      <c r="D13" s="57"/>
      <c r="E13" s="25"/>
      <c r="F13" s="56" t="s">
        <v>42</v>
      </c>
      <c r="G13" s="60"/>
      <c r="H13" s="61"/>
      <c r="I13" s="28"/>
      <c r="J13" s="56" t="s">
        <v>43</v>
      </c>
      <c r="K13" s="60"/>
      <c r="L13" s="61"/>
      <c r="M13" s="28"/>
    </row>
    <row r="14" spans="1:13" ht="30" customHeight="1" x14ac:dyDescent="0.25">
      <c r="B14" s="56" t="s">
        <v>44</v>
      </c>
      <c r="C14" s="58">
        <v>0.52</v>
      </c>
      <c r="D14" s="57"/>
      <c r="E14" s="25"/>
      <c r="F14" s="56" t="s">
        <v>45</v>
      </c>
      <c r="G14" s="60"/>
      <c r="H14" s="61"/>
      <c r="I14" s="28"/>
      <c r="J14" s="67"/>
      <c r="K14" s="60"/>
      <c r="L14" s="61"/>
      <c r="M14" s="28"/>
    </row>
    <row r="15" spans="1:13" ht="30" customHeight="1" x14ac:dyDescent="0.25">
      <c r="B15" s="56" t="s">
        <v>46</v>
      </c>
      <c r="C15" s="58">
        <v>1.079</v>
      </c>
      <c r="D15" s="57"/>
      <c r="E15" s="25"/>
      <c r="F15" s="28"/>
      <c r="G15" s="28"/>
      <c r="H15" s="28"/>
      <c r="I15" s="28"/>
      <c r="J15" s="294" t="s">
        <v>47</v>
      </c>
      <c r="K15" s="294"/>
      <c r="L15" s="294"/>
      <c r="M15" s="28"/>
    </row>
    <row r="16" spans="1:13" ht="30" customHeight="1" x14ac:dyDescent="0.25">
      <c r="B16" s="56" t="s">
        <v>48</v>
      </c>
      <c r="C16" s="58">
        <v>0.73899999999999999</v>
      </c>
      <c r="D16" s="57"/>
      <c r="E16" s="25"/>
      <c r="F16" s="282" t="s">
        <v>49</v>
      </c>
      <c r="G16" s="282"/>
      <c r="H16" s="282"/>
      <c r="I16" s="28"/>
      <c r="J16" s="282" t="s">
        <v>19</v>
      </c>
      <c r="K16" s="282"/>
      <c r="L16" s="282"/>
      <c r="M16" s="28"/>
    </row>
    <row r="17" spans="2:13" ht="30" customHeight="1" x14ac:dyDescent="0.25">
      <c r="B17" s="56" t="s">
        <v>50</v>
      </c>
      <c r="C17" s="58">
        <v>0.58499999999999996</v>
      </c>
      <c r="D17" s="57"/>
      <c r="E17" s="25"/>
      <c r="F17" s="279" t="s">
        <v>21</v>
      </c>
      <c r="G17" s="279"/>
      <c r="H17" s="279"/>
      <c r="J17" s="279" t="s">
        <v>51</v>
      </c>
      <c r="K17" s="279"/>
      <c r="L17" s="279"/>
      <c r="M17" s="28"/>
    </row>
    <row r="18" spans="2:13" ht="30" customHeight="1" x14ac:dyDescent="0.25">
      <c r="B18" s="56" t="s">
        <v>52</v>
      </c>
      <c r="C18" s="58">
        <v>0.44900000000000001</v>
      </c>
      <c r="D18" s="57"/>
      <c r="E18" s="25"/>
      <c r="F18" s="280"/>
      <c r="G18" s="280"/>
      <c r="H18" s="280"/>
      <c r="I18" s="28"/>
      <c r="J18" s="280"/>
      <c r="K18" s="280"/>
      <c r="L18" s="280"/>
      <c r="M18" s="29"/>
    </row>
    <row r="19" spans="2:13" ht="30" customHeight="1" x14ac:dyDescent="0.25">
      <c r="B19" s="56" t="s">
        <v>53</v>
      </c>
      <c r="C19" s="58">
        <v>0.96899999999999997</v>
      </c>
      <c r="D19" s="57"/>
      <c r="E19" s="25"/>
      <c r="F19" s="54" t="s">
        <v>26</v>
      </c>
      <c r="G19" s="55" t="s">
        <v>27</v>
      </c>
      <c r="H19" s="55" t="s">
        <v>28</v>
      </c>
      <c r="I19" s="28"/>
      <c r="J19" s="54" t="s">
        <v>54</v>
      </c>
      <c r="K19" s="55" t="s">
        <v>55</v>
      </c>
      <c r="L19" s="55" t="s">
        <v>31</v>
      </c>
      <c r="M19" s="30"/>
    </row>
    <row r="20" spans="2:13" ht="30" customHeight="1" x14ac:dyDescent="0.25">
      <c r="B20" s="56" t="s">
        <v>56</v>
      </c>
      <c r="C20" s="56"/>
      <c r="D20" s="57"/>
      <c r="E20" s="25"/>
      <c r="F20" s="56" t="s">
        <v>57</v>
      </c>
      <c r="G20" s="60"/>
      <c r="H20" s="61"/>
      <c r="I20" s="29"/>
      <c r="J20" s="56" t="s">
        <v>34</v>
      </c>
      <c r="K20" s="60"/>
      <c r="L20" s="61"/>
      <c r="M20" s="29"/>
    </row>
    <row r="21" spans="2:13" ht="30" customHeight="1" x14ac:dyDescent="0.25">
      <c r="B21" s="56" t="s">
        <v>56</v>
      </c>
      <c r="C21" s="58"/>
      <c r="D21" s="57"/>
      <c r="E21" s="25"/>
      <c r="F21" s="56" t="s">
        <v>58</v>
      </c>
      <c r="G21" s="60"/>
      <c r="H21" s="61"/>
      <c r="I21" s="30"/>
      <c r="J21" s="58" t="s">
        <v>59</v>
      </c>
      <c r="K21" s="60"/>
      <c r="L21" s="61"/>
      <c r="M21" s="31"/>
    </row>
    <row r="22" spans="2:13" ht="30" customHeight="1" x14ac:dyDescent="0.25">
      <c r="B22" s="56" t="s">
        <v>56</v>
      </c>
      <c r="C22" s="58"/>
      <c r="D22" s="57"/>
      <c r="E22" s="25"/>
      <c r="F22" s="56" t="s">
        <v>60</v>
      </c>
      <c r="G22" s="60"/>
      <c r="H22" s="61"/>
      <c r="I22" s="29"/>
      <c r="J22" s="56" t="s">
        <v>61</v>
      </c>
      <c r="K22" s="60"/>
      <c r="L22" s="61"/>
      <c r="M22" s="31"/>
    </row>
    <row r="23" spans="2:13" ht="30" customHeight="1" x14ac:dyDescent="0.25">
      <c r="B23" s="32"/>
      <c r="C23" s="26"/>
      <c r="D23" s="25"/>
      <c r="E23" s="25"/>
      <c r="F23" s="31"/>
      <c r="G23" s="31"/>
      <c r="H23" s="31"/>
      <c r="I23" s="31"/>
      <c r="J23" s="62"/>
      <c r="K23" s="62"/>
      <c r="L23" s="62"/>
      <c r="M23" s="31"/>
    </row>
    <row r="24" spans="2:13" ht="30" customHeight="1" x14ac:dyDescent="0.25">
      <c r="B24" s="32"/>
      <c r="C24" s="33"/>
      <c r="D24" s="32"/>
      <c r="E24" s="32"/>
      <c r="F24" s="34"/>
      <c r="G24" s="34"/>
      <c r="H24" s="34"/>
      <c r="I24" s="34"/>
      <c r="J24" s="34"/>
      <c r="K24" s="34"/>
      <c r="L24" s="34"/>
      <c r="M24" s="34"/>
    </row>
    <row r="25" spans="2:13" ht="30" customHeight="1" x14ac:dyDescent="0.25">
      <c r="B25" s="32"/>
      <c r="C25" s="26"/>
      <c r="D25" s="25"/>
      <c r="E25" s="25"/>
      <c r="F25" s="31"/>
      <c r="G25" s="31"/>
      <c r="H25" s="31"/>
      <c r="I25" s="31"/>
      <c r="J25" s="31"/>
      <c r="K25" s="31"/>
      <c r="L25" s="31"/>
      <c r="M25" s="31"/>
    </row>
    <row r="26" spans="2:13" ht="30" customHeight="1" x14ac:dyDescent="0.25">
      <c r="B26" s="32"/>
      <c r="C26" s="26"/>
      <c r="D26" s="25"/>
      <c r="E26" s="25"/>
      <c r="F26" s="31"/>
      <c r="G26" s="31"/>
      <c r="H26" s="31"/>
      <c r="I26" s="31"/>
      <c r="J26" s="31"/>
      <c r="K26" s="31"/>
      <c r="L26" s="31"/>
      <c r="M26" s="31"/>
    </row>
    <row r="27" spans="2:13" ht="30" customHeight="1" x14ac:dyDescent="0.25">
      <c r="B27" s="32"/>
      <c r="C27" s="25"/>
      <c r="D27" s="25"/>
      <c r="E27" s="25"/>
      <c r="F27" s="31"/>
      <c r="G27" s="31"/>
      <c r="H27" s="29"/>
      <c r="I27" s="31"/>
      <c r="J27" s="29"/>
      <c r="K27" s="35"/>
      <c r="L27" s="35"/>
      <c r="M27" s="35"/>
    </row>
    <row r="28" spans="2:13" ht="30" customHeight="1" x14ac:dyDescent="0.25">
      <c r="B28" s="32"/>
      <c r="C28" s="26"/>
      <c r="D28" s="25"/>
      <c r="E28" s="25"/>
      <c r="F28" s="31"/>
      <c r="G28" s="31"/>
      <c r="H28" s="31"/>
      <c r="I28" s="31"/>
      <c r="J28" s="31"/>
      <c r="K28" s="36"/>
      <c r="L28" s="36"/>
      <c r="M28" s="36"/>
    </row>
    <row r="29" spans="2:13" ht="30" customHeight="1" x14ac:dyDescent="0.25">
      <c r="B29" s="32"/>
      <c r="C29" s="26"/>
      <c r="D29" s="25"/>
      <c r="E29" s="25"/>
      <c r="F29" s="31"/>
      <c r="G29" s="31"/>
      <c r="H29" s="31"/>
      <c r="I29" s="31"/>
      <c r="J29" s="31"/>
      <c r="K29" s="36"/>
      <c r="L29" s="36"/>
      <c r="M29" s="36"/>
    </row>
    <row r="30" spans="2:13" ht="30" customHeight="1" x14ac:dyDescent="0.25"/>
    <row r="31" spans="2:13" ht="30" customHeight="1" x14ac:dyDescent="0.25">
      <c r="B31" s="289"/>
      <c r="C31" s="290"/>
      <c r="D31" s="290"/>
      <c r="E31" s="37"/>
      <c r="F31" s="291"/>
      <c r="G31" s="291"/>
      <c r="H31" s="291"/>
      <c r="I31" s="291"/>
      <c r="J31" s="291"/>
      <c r="K31" s="291"/>
      <c r="L31" s="291"/>
      <c r="M31" s="291"/>
    </row>
    <row r="32" spans="2:13" ht="30" customHeight="1" x14ac:dyDescent="0.25">
      <c r="B32" s="292"/>
      <c r="C32" s="290"/>
      <c r="D32" s="290"/>
      <c r="E32" s="38"/>
      <c r="F32" s="39"/>
      <c r="G32" s="39"/>
      <c r="H32" s="40"/>
      <c r="I32" s="40"/>
      <c r="J32" s="40"/>
      <c r="K32" s="39"/>
      <c r="L32" s="39"/>
      <c r="M32" s="40"/>
    </row>
    <row r="33" spans="2:13" ht="30" customHeight="1" x14ac:dyDescent="0.25">
      <c r="B33" s="293"/>
      <c r="C33" s="293"/>
      <c r="D33" s="293"/>
      <c r="E33" s="25"/>
      <c r="F33" s="41"/>
      <c r="G33" s="41"/>
      <c r="H33" s="41"/>
      <c r="I33" s="28"/>
      <c r="J33" s="41"/>
      <c r="K33" s="41"/>
      <c r="L33" s="41"/>
      <c r="M33" s="41"/>
    </row>
    <row r="34" spans="2:13" ht="30" customHeight="1" x14ac:dyDescent="0.25">
      <c r="B34" s="285"/>
      <c r="C34" s="285"/>
      <c r="D34" s="285"/>
      <c r="E34" s="40"/>
      <c r="F34" s="42"/>
      <c r="G34" s="42"/>
      <c r="H34" s="42"/>
      <c r="I34" s="43"/>
      <c r="J34" s="42"/>
      <c r="K34" s="42"/>
      <c r="L34" s="42"/>
      <c r="M34" s="42"/>
    </row>
    <row r="35" spans="2:13" ht="30" customHeight="1" x14ac:dyDescent="0.25">
      <c r="B35" s="284"/>
      <c r="C35" s="284"/>
      <c r="D35" s="284"/>
      <c r="E35" s="38"/>
      <c r="F35" s="28"/>
      <c r="G35" s="28"/>
      <c r="H35" s="28"/>
      <c r="I35" s="28"/>
      <c r="J35" s="41"/>
      <c r="K35" s="41"/>
      <c r="L35" s="41"/>
      <c r="M35" s="41"/>
    </row>
    <row r="36" spans="2:13" ht="30" customHeight="1" x14ac:dyDescent="0.25">
      <c r="B36" s="286"/>
      <c r="C36" s="286"/>
      <c r="D36" s="286"/>
      <c r="E36" s="38"/>
      <c r="F36" s="41"/>
      <c r="G36" s="41"/>
      <c r="H36" s="41"/>
      <c r="I36" s="28"/>
      <c r="J36" s="41"/>
      <c r="K36" s="41"/>
      <c r="L36" s="41"/>
      <c r="M36" s="41"/>
    </row>
    <row r="37" spans="2:13" ht="30" customHeight="1" x14ac:dyDescent="0.25">
      <c r="B37" s="285"/>
      <c r="C37" s="285"/>
      <c r="D37" s="285"/>
      <c r="E37" s="40"/>
      <c r="F37" s="42"/>
      <c r="G37" s="42"/>
      <c r="H37" s="42"/>
      <c r="I37" s="43"/>
      <c r="J37" s="42"/>
      <c r="K37" s="42"/>
      <c r="L37" s="42"/>
      <c r="M37" s="42"/>
    </row>
    <row r="38" spans="2:13" ht="30" customHeight="1" x14ac:dyDescent="0.25">
      <c r="B38" s="284"/>
      <c r="C38" s="284"/>
      <c r="D38" s="284"/>
      <c r="E38" s="38"/>
      <c r="F38" s="41"/>
      <c r="G38" s="41"/>
      <c r="H38" s="41"/>
      <c r="I38" s="28"/>
      <c r="J38" s="41"/>
      <c r="K38" s="41"/>
      <c r="L38" s="41"/>
      <c r="M38" s="41"/>
    </row>
    <row r="39" spans="2:13" ht="30" customHeight="1" x14ac:dyDescent="0.25">
      <c r="B39" s="284"/>
      <c r="C39" s="284"/>
      <c r="D39" s="284"/>
      <c r="E39" s="38"/>
      <c r="F39" s="41"/>
      <c r="G39" s="41"/>
      <c r="H39" s="41"/>
      <c r="I39" s="28"/>
      <c r="J39" s="41"/>
      <c r="K39" s="41"/>
      <c r="L39" s="41"/>
      <c r="M39" s="41"/>
    </row>
    <row r="40" spans="2:13" ht="30" customHeight="1" x14ac:dyDescent="0.25">
      <c r="B40" s="284"/>
      <c r="C40" s="284"/>
      <c r="D40" s="284"/>
      <c r="E40" s="38"/>
      <c r="F40" s="41"/>
      <c r="G40" s="41"/>
      <c r="H40" s="41"/>
      <c r="I40" s="28"/>
      <c r="J40" s="41"/>
      <c r="K40" s="41"/>
      <c r="L40" s="41"/>
      <c r="M40" s="41"/>
    </row>
    <row r="41" spans="2:13" ht="30" customHeight="1" x14ac:dyDescent="0.25">
      <c r="B41" s="285"/>
      <c r="C41" s="285"/>
      <c r="D41" s="285"/>
      <c r="E41" s="40"/>
      <c r="F41" s="41"/>
      <c r="G41" s="41"/>
      <c r="H41" s="41"/>
      <c r="I41" s="28"/>
      <c r="J41" s="41"/>
      <c r="K41" s="41"/>
      <c r="L41" s="41"/>
      <c r="M41" s="41"/>
    </row>
    <row r="42" spans="2:13" ht="30" customHeight="1" x14ac:dyDescent="0.25">
      <c r="B42" s="283"/>
      <c r="C42" s="283"/>
      <c r="D42" s="283"/>
      <c r="E42" s="44"/>
      <c r="F42" s="44"/>
      <c r="G42" s="44"/>
      <c r="H42" s="44"/>
      <c r="I42" s="29"/>
      <c r="J42" s="44"/>
      <c r="K42" s="44"/>
      <c r="L42" s="44"/>
      <c r="M42" s="44"/>
    </row>
    <row r="43" spans="2:13" ht="30" customHeight="1" x14ac:dyDescent="0.25">
      <c r="B43" s="284"/>
      <c r="C43" s="284"/>
      <c r="D43" s="284"/>
      <c r="E43" s="38"/>
      <c r="F43" s="41"/>
      <c r="G43" s="41"/>
      <c r="H43" s="41"/>
      <c r="I43" s="28"/>
      <c r="J43" s="41"/>
      <c r="K43" s="41"/>
      <c r="L43" s="41"/>
      <c r="M43" s="41"/>
    </row>
    <row r="44" spans="2:13" ht="30" customHeight="1" x14ac:dyDescent="0.25">
      <c r="B44" s="284"/>
      <c r="C44" s="284"/>
      <c r="D44" s="284"/>
      <c r="E44" s="38"/>
      <c r="F44" s="41"/>
      <c r="G44" s="41"/>
      <c r="H44" s="41"/>
      <c r="I44" s="28"/>
      <c r="J44" s="41"/>
      <c r="K44" s="41"/>
      <c r="L44" s="41"/>
      <c r="M44" s="41"/>
    </row>
    <row r="45" spans="2:13" ht="30" customHeight="1" x14ac:dyDescent="0.25">
      <c r="B45" s="285"/>
      <c r="C45" s="285"/>
      <c r="D45" s="285"/>
      <c r="E45" s="40"/>
      <c r="F45" s="42"/>
      <c r="G45" s="42"/>
      <c r="H45" s="42"/>
      <c r="I45" s="43"/>
      <c r="J45" s="42"/>
      <c r="K45" s="42"/>
      <c r="L45" s="42"/>
      <c r="M45" s="42"/>
    </row>
    <row r="46" spans="2:13" ht="30" customHeight="1" x14ac:dyDescent="0.25">
      <c r="B46" s="285"/>
      <c r="C46" s="285"/>
      <c r="D46" s="285"/>
      <c r="E46" s="40"/>
      <c r="F46" s="42"/>
      <c r="G46" s="42"/>
      <c r="H46" s="42"/>
      <c r="I46" s="42"/>
      <c r="J46" s="42"/>
      <c r="K46" s="42"/>
      <c r="L46" s="42"/>
      <c r="M46" s="42"/>
    </row>
    <row r="47" spans="2:13" ht="30" customHeight="1" x14ac:dyDescent="0.25">
      <c r="B47" s="287"/>
      <c r="C47" s="287"/>
      <c r="D47" s="287"/>
      <c r="E47" s="25"/>
      <c r="F47" s="31"/>
      <c r="G47" s="31"/>
      <c r="H47" s="31"/>
      <c r="I47" s="31"/>
      <c r="J47" s="31"/>
      <c r="K47" s="31"/>
      <c r="L47" s="31"/>
      <c r="M47" s="31"/>
    </row>
    <row r="48" spans="2:13" ht="30" customHeight="1" x14ac:dyDescent="0.25">
      <c r="B48" s="288"/>
      <c r="C48" s="288"/>
      <c r="D48" s="288"/>
      <c r="E48" s="38"/>
      <c r="F48" s="45"/>
      <c r="G48" s="45"/>
      <c r="H48" s="45"/>
      <c r="I48" s="45"/>
      <c r="J48" s="46"/>
      <c r="K48" s="46"/>
      <c r="L48" s="46"/>
      <c r="M48" s="46"/>
    </row>
    <row r="49" spans="2:13" ht="30" customHeight="1" x14ac:dyDescent="0.25">
      <c r="B49" s="38"/>
      <c r="E49" s="47"/>
      <c r="F49" s="48"/>
      <c r="G49" s="48"/>
      <c r="H49" s="48"/>
      <c r="I49" s="48"/>
      <c r="J49" s="48"/>
      <c r="K49" s="48"/>
      <c r="L49" s="48"/>
      <c r="M49" s="48"/>
    </row>
    <row r="50" spans="2:13" ht="30" customHeight="1" x14ac:dyDescent="0.25">
      <c r="B50" s="284"/>
      <c r="C50" s="284"/>
      <c r="D50" s="284"/>
      <c r="E50" s="25"/>
      <c r="F50" s="49"/>
      <c r="G50" s="49"/>
      <c r="H50" s="49"/>
      <c r="I50" s="49"/>
      <c r="J50" s="31"/>
      <c r="K50" s="31"/>
      <c r="L50" s="31"/>
      <c r="M50" s="31"/>
    </row>
    <row r="51" spans="2:13" ht="30" customHeight="1" x14ac:dyDescent="0.25">
      <c r="B51" s="286"/>
      <c r="C51" s="286"/>
      <c r="D51" s="286"/>
      <c r="E51" s="25"/>
      <c r="F51" s="49"/>
      <c r="G51" s="49"/>
      <c r="H51" s="49"/>
      <c r="I51" s="49"/>
      <c r="J51" s="31"/>
      <c r="K51" s="31"/>
      <c r="L51" s="31"/>
      <c r="M51" s="31"/>
    </row>
    <row r="52" spans="2:13" ht="30" customHeight="1" x14ac:dyDescent="0.25">
      <c r="B52" s="285"/>
      <c r="C52" s="285"/>
      <c r="D52" s="285"/>
      <c r="E52" s="50"/>
      <c r="F52" s="51"/>
      <c r="G52" s="52"/>
      <c r="H52" s="51"/>
      <c r="I52" s="51"/>
      <c r="J52" s="52"/>
      <c r="K52" s="51"/>
      <c r="L52" s="51"/>
      <c r="M52" s="51"/>
    </row>
    <row r="53" spans="2:13" ht="15" hidden="1" x14ac:dyDescent="0.25"/>
    <row r="54" spans="2:13" ht="15" hidden="1" x14ac:dyDescent="0.25"/>
    <row r="55" spans="2:13" ht="15" hidden="1" x14ac:dyDescent="0.25"/>
    <row r="56" spans="2:13" ht="15" hidden="1" x14ac:dyDescent="0.25"/>
    <row r="57" spans="2:13" ht="15" hidden="1" x14ac:dyDescent="0.25"/>
  </sheetData>
  <mergeCells count="36">
    <mergeCell ref="J15:L15"/>
    <mergeCell ref="J16:L16"/>
    <mergeCell ref="J17:L18"/>
    <mergeCell ref="F17:H18"/>
    <mergeCell ref="F16:H16"/>
    <mergeCell ref="B31:D31"/>
    <mergeCell ref="F31:J31"/>
    <mergeCell ref="K31:M31"/>
    <mergeCell ref="B41:D41"/>
    <mergeCell ref="B32:D32"/>
    <mergeCell ref="B33:D33"/>
    <mergeCell ref="B52:D52"/>
    <mergeCell ref="B45:D45"/>
    <mergeCell ref="B46:D46"/>
    <mergeCell ref="B47:D47"/>
    <mergeCell ref="B48:D48"/>
    <mergeCell ref="B50:D50"/>
    <mergeCell ref="B51:D51"/>
    <mergeCell ref="B42:D42"/>
    <mergeCell ref="B43:D43"/>
    <mergeCell ref="B44:D44"/>
    <mergeCell ref="B34:D34"/>
    <mergeCell ref="B35:D35"/>
    <mergeCell ref="B36:D36"/>
    <mergeCell ref="B40:D40"/>
    <mergeCell ref="B37:D37"/>
    <mergeCell ref="B38:D38"/>
    <mergeCell ref="B39:D39"/>
    <mergeCell ref="B3:M3"/>
    <mergeCell ref="B4:M4"/>
    <mergeCell ref="J7:L8"/>
    <mergeCell ref="F7:H8"/>
    <mergeCell ref="B7:D8"/>
    <mergeCell ref="B6:D6"/>
    <mergeCell ref="F6:H6"/>
    <mergeCell ref="J6:L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926D6-288C-4773-985F-88C64263C459}">
  <sheetPr codeName="Sheet3"/>
  <dimension ref="A1:P58"/>
  <sheetViews>
    <sheetView showGridLines="0" showRowColHeaders="0" topLeftCell="A2" zoomScaleNormal="100" workbookViewId="0">
      <selection activeCell="B16" sqref="B16:I16"/>
    </sheetView>
  </sheetViews>
  <sheetFormatPr defaultColWidth="0" defaultRowHeight="0" customHeight="1" zeroHeight="1" x14ac:dyDescent="0.25"/>
  <cols>
    <col min="1" max="1" width="8.7109375" customWidth="1"/>
    <col min="2" max="9" width="25.7109375" customWidth="1"/>
    <col min="10" max="10" width="8.7109375" customWidth="1"/>
    <col min="11" max="16" width="0" hidden="1" customWidth="1"/>
    <col min="17" max="16384" width="8.7109375" hidden="1"/>
  </cols>
  <sheetData>
    <row r="1" spans="1:9" ht="15" hidden="1" x14ac:dyDescent="0.25"/>
    <row r="2" spans="1:9" ht="33" customHeight="1" x14ac:dyDescent="0.25">
      <c r="C2" s="24"/>
    </row>
    <row r="3" spans="1:9" ht="33" customHeight="1" x14ac:dyDescent="0.25">
      <c r="B3" s="276" t="s">
        <v>15</v>
      </c>
      <c r="C3" s="277"/>
      <c r="D3" s="277"/>
      <c r="E3" s="277"/>
      <c r="F3" s="277"/>
      <c r="G3" s="277"/>
      <c r="H3" s="277"/>
      <c r="I3" s="277"/>
    </row>
    <row r="4" spans="1:9" ht="33" customHeight="1" x14ac:dyDescent="0.25">
      <c r="B4" s="278" t="s">
        <v>16</v>
      </c>
      <c r="C4" s="278"/>
      <c r="D4" s="278"/>
      <c r="E4" s="278"/>
      <c r="F4" s="278"/>
      <c r="G4" s="278"/>
      <c r="H4" s="278"/>
      <c r="I4" s="278"/>
    </row>
    <row r="5" spans="1:9" ht="33" customHeight="1" x14ac:dyDescent="0.25">
      <c r="B5" s="66"/>
      <c r="C5" s="66"/>
      <c r="D5" s="66"/>
      <c r="E5" s="66"/>
      <c r="F5" s="66"/>
      <c r="G5" s="66"/>
      <c r="H5" s="66"/>
      <c r="I5" s="66"/>
    </row>
    <row r="6" spans="1:9" ht="33" customHeight="1" x14ac:dyDescent="0.25">
      <c r="B6" s="282" t="s">
        <v>62</v>
      </c>
      <c r="C6" s="282"/>
      <c r="D6" s="282"/>
      <c r="E6" s="282"/>
      <c r="F6" s="282"/>
      <c r="G6" s="282"/>
      <c r="H6" s="282"/>
      <c r="I6" s="282"/>
    </row>
    <row r="7" spans="1:9" ht="33" customHeight="1" x14ac:dyDescent="0.25">
      <c r="A7" s="23"/>
      <c r="B7" s="281" t="s">
        <v>22</v>
      </c>
      <c r="C7" s="277"/>
      <c r="D7" s="277"/>
      <c r="E7" s="277"/>
      <c r="F7" s="277"/>
      <c r="G7" s="277"/>
      <c r="H7" s="277"/>
      <c r="I7" s="277"/>
    </row>
    <row r="8" spans="1:9" ht="30" customHeight="1" x14ac:dyDescent="0.25">
      <c r="B8" s="65"/>
      <c r="C8" s="65"/>
      <c r="D8" s="65"/>
      <c r="E8" s="53"/>
      <c r="F8" s="64"/>
      <c r="G8" s="64"/>
      <c r="H8" s="64"/>
      <c r="I8" s="53"/>
    </row>
    <row r="9" spans="1:9" ht="30" customHeight="1" x14ac:dyDescent="0.25">
      <c r="B9" s="54" t="s">
        <v>29</v>
      </c>
      <c r="C9" s="55" t="s">
        <v>30</v>
      </c>
      <c r="D9" s="55" t="s">
        <v>31</v>
      </c>
      <c r="F9" s="64"/>
      <c r="G9" s="54" t="s">
        <v>54</v>
      </c>
      <c r="H9" s="55" t="s">
        <v>55</v>
      </c>
      <c r="I9" s="55" t="s">
        <v>31</v>
      </c>
    </row>
    <row r="10" spans="1:9" ht="30" customHeight="1" x14ac:dyDescent="0.25">
      <c r="B10" s="56" t="s">
        <v>34</v>
      </c>
      <c r="C10" s="60"/>
      <c r="D10" s="61"/>
      <c r="E10" s="25"/>
      <c r="F10" s="53"/>
      <c r="G10" s="56" t="s">
        <v>34</v>
      </c>
      <c r="H10" s="60"/>
      <c r="I10" s="61"/>
    </row>
    <row r="11" spans="1:9" ht="30" customHeight="1" x14ac:dyDescent="0.25">
      <c r="B11" s="58" t="s">
        <v>37</v>
      </c>
      <c r="C11" s="60"/>
      <c r="D11" s="61"/>
      <c r="E11" s="295" t="s">
        <v>51</v>
      </c>
      <c r="F11" s="296"/>
      <c r="G11" s="58" t="s">
        <v>59</v>
      </c>
      <c r="H11" s="60"/>
      <c r="I11" s="61"/>
    </row>
    <row r="12" spans="1:9" ht="30" customHeight="1" x14ac:dyDescent="0.25">
      <c r="B12" s="56" t="s">
        <v>40</v>
      </c>
      <c r="C12" s="60"/>
      <c r="D12" s="61"/>
      <c r="E12" s="295"/>
      <c r="F12" s="296"/>
      <c r="G12" s="56" t="s">
        <v>61</v>
      </c>
      <c r="H12" s="60"/>
      <c r="I12" s="61"/>
    </row>
    <row r="13" spans="1:9" ht="30" customHeight="1" x14ac:dyDescent="0.25">
      <c r="B13" s="56" t="s">
        <v>43</v>
      </c>
      <c r="C13" s="60"/>
      <c r="D13" s="61"/>
      <c r="E13" s="25"/>
      <c r="F13" s="63"/>
      <c r="G13" s="56" t="s">
        <v>40</v>
      </c>
      <c r="H13" s="60"/>
      <c r="I13" s="61"/>
    </row>
    <row r="14" spans="1:9" ht="30" customHeight="1" x14ac:dyDescent="0.25">
      <c r="B14" s="67"/>
      <c r="C14" s="60"/>
      <c r="D14" s="61"/>
      <c r="E14" s="25"/>
      <c r="F14" s="63"/>
      <c r="G14" s="56" t="s">
        <v>43</v>
      </c>
      <c r="H14" s="60"/>
      <c r="I14" s="61"/>
    </row>
    <row r="15" spans="1:9" ht="30" customHeight="1" x14ac:dyDescent="0.25">
      <c r="B15" s="294"/>
      <c r="C15" s="294"/>
      <c r="D15" s="294"/>
      <c r="E15" s="25"/>
      <c r="F15" s="63"/>
      <c r="G15" s="28"/>
      <c r="H15" s="28"/>
      <c r="I15" s="28"/>
    </row>
    <row r="16" spans="1:9" ht="30" customHeight="1" x14ac:dyDescent="0.25">
      <c r="B16" s="297"/>
      <c r="C16" s="297"/>
      <c r="D16" s="297"/>
      <c r="E16" s="297"/>
      <c r="F16" s="297"/>
      <c r="G16" s="297"/>
      <c r="H16" s="297"/>
      <c r="I16" s="297"/>
    </row>
    <row r="17" spans="2:9" ht="30" customHeight="1" x14ac:dyDescent="0.25">
      <c r="B17" s="281"/>
      <c r="C17" s="281"/>
      <c r="D17" s="281"/>
      <c r="E17" s="281"/>
      <c r="F17" s="281"/>
      <c r="G17" s="281"/>
      <c r="H17" s="281"/>
      <c r="I17" s="281"/>
    </row>
    <row r="18" spans="2:9" ht="30" customHeight="1" x14ac:dyDescent="0.25">
      <c r="B18" s="64"/>
      <c r="C18" s="64"/>
      <c r="D18" s="64"/>
      <c r="E18" s="25"/>
      <c r="F18" s="64"/>
      <c r="G18" s="64"/>
      <c r="H18" s="64"/>
    </row>
    <row r="19" spans="2:9" ht="30" customHeight="1" x14ac:dyDescent="0.25">
      <c r="E19" s="25"/>
      <c r="F19" s="64"/>
      <c r="G19" s="64"/>
      <c r="H19" s="64"/>
      <c r="I19" s="28"/>
    </row>
    <row r="20" spans="2:9" ht="30" customHeight="1" x14ac:dyDescent="0.25">
      <c r="E20" s="25"/>
      <c r="F20" s="53"/>
      <c r="G20" s="68"/>
      <c r="H20" s="68"/>
      <c r="I20" s="28"/>
    </row>
    <row r="21" spans="2:9" ht="30" customHeight="1" x14ac:dyDescent="0.25">
      <c r="E21" s="25"/>
      <c r="F21" s="63"/>
      <c r="G21" s="28"/>
      <c r="H21" s="28"/>
      <c r="I21" s="29"/>
    </row>
    <row r="22" spans="2:9" ht="30" customHeight="1" x14ac:dyDescent="0.25">
      <c r="E22" s="25"/>
      <c r="F22" s="63"/>
      <c r="G22" s="28"/>
      <c r="H22" s="28"/>
      <c r="I22" s="30"/>
    </row>
    <row r="23" spans="2:9" ht="30" customHeight="1" x14ac:dyDescent="0.25">
      <c r="B23" s="63"/>
      <c r="C23" s="64"/>
      <c r="D23" s="25"/>
      <c r="E23" s="25"/>
      <c r="F23" s="63"/>
      <c r="G23" s="28"/>
      <c r="H23" s="28"/>
      <c r="I23" s="29"/>
    </row>
    <row r="24" spans="2:9" ht="30" customHeight="1" x14ac:dyDescent="0.25">
      <c r="B24" s="32"/>
      <c r="C24" s="26"/>
      <c r="D24" s="25"/>
      <c r="E24" s="25"/>
      <c r="F24" s="31"/>
      <c r="G24" s="31"/>
      <c r="H24" s="31"/>
      <c r="I24" s="31"/>
    </row>
    <row r="25" spans="2:9" ht="30" customHeight="1" x14ac:dyDescent="0.25">
      <c r="B25" s="32"/>
      <c r="C25" s="33"/>
      <c r="D25" s="32"/>
      <c r="E25" s="32"/>
      <c r="F25" s="34"/>
      <c r="G25" s="34"/>
      <c r="H25" s="34"/>
      <c r="I25" s="34"/>
    </row>
    <row r="26" spans="2:9" ht="30" customHeight="1" x14ac:dyDescent="0.25">
      <c r="B26" s="32"/>
      <c r="C26" s="26"/>
      <c r="D26" s="25"/>
      <c r="E26" s="25"/>
      <c r="F26" s="31"/>
      <c r="G26" s="31"/>
      <c r="H26" s="31"/>
      <c r="I26" s="31"/>
    </row>
    <row r="27" spans="2:9" ht="30" customHeight="1" x14ac:dyDescent="0.25">
      <c r="B27" s="32"/>
      <c r="C27" s="26"/>
      <c r="D27" s="25"/>
      <c r="E27" s="25"/>
      <c r="F27" s="31"/>
      <c r="G27" s="31"/>
      <c r="H27" s="31"/>
      <c r="I27" s="31"/>
    </row>
    <row r="28" spans="2:9" ht="30" customHeight="1" x14ac:dyDescent="0.25">
      <c r="B28" s="32"/>
      <c r="C28" s="25"/>
      <c r="D28" s="25"/>
      <c r="E28" s="25"/>
      <c r="F28" s="31"/>
      <c r="G28" s="31"/>
      <c r="H28" s="29"/>
      <c r="I28" s="31"/>
    </row>
    <row r="29" spans="2:9" ht="30" customHeight="1" x14ac:dyDescent="0.25">
      <c r="B29" s="32"/>
      <c r="C29" s="26"/>
      <c r="D29" s="25"/>
      <c r="E29" s="25"/>
      <c r="F29" s="31"/>
      <c r="G29" s="31"/>
      <c r="H29" s="31"/>
      <c r="I29" s="31"/>
    </row>
    <row r="30" spans="2:9" ht="30" customHeight="1" x14ac:dyDescent="0.25">
      <c r="B30" s="32"/>
      <c r="C30" s="26"/>
      <c r="D30" s="25"/>
      <c r="E30" s="25"/>
      <c r="F30" s="31"/>
      <c r="G30" s="31"/>
      <c r="H30" s="31"/>
      <c r="I30" s="31"/>
    </row>
    <row r="31" spans="2:9" ht="30" customHeight="1" x14ac:dyDescent="0.25"/>
    <row r="32" spans="2:9" ht="30" customHeight="1" x14ac:dyDescent="0.25">
      <c r="B32" s="289"/>
      <c r="C32" s="290"/>
      <c r="D32" s="290"/>
      <c r="E32" s="37"/>
      <c r="F32" s="291"/>
      <c r="G32" s="291"/>
      <c r="H32" s="291"/>
      <c r="I32" s="291"/>
    </row>
    <row r="33" spans="2:9" ht="30" customHeight="1" x14ac:dyDescent="0.25">
      <c r="B33" s="292"/>
      <c r="C33" s="290"/>
      <c r="D33" s="290"/>
      <c r="E33" s="38"/>
      <c r="F33" s="39"/>
      <c r="G33" s="39"/>
      <c r="H33" s="40"/>
      <c r="I33" s="40"/>
    </row>
    <row r="34" spans="2:9" ht="30" customHeight="1" x14ac:dyDescent="0.25">
      <c r="B34" s="293"/>
      <c r="C34" s="293"/>
      <c r="D34" s="293"/>
      <c r="E34" s="25"/>
      <c r="F34" s="41"/>
      <c r="G34" s="41"/>
      <c r="H34" s="41"/>
      <c r="I34" s="28"/>
    </row>
    <row r="35" spans="2:9" ht="30" customHeight="1" x14ac:dyDescent="0.25">
      <c r="B35" s="285"/>
      <c r="C35" s="285"/>
      <c r="D35" s="285"/>
      <c r="E35" s="40"/>
      <c r="F35" s="42"/>
      <c r="G35" s="42"/>
      <c r="H35" s="42"/>
      <c r="I35" s="43"/>
    </row>
    <row r="36" spans="2:9" ht="30" customHeight="1" x14ac:dyDescent="0.25">
      <c r="B36" s="284"/>
      <c r="C36" s="284"/>
      <c r="D36" s="284"/>
      <c r="E36" s="38"/>
      <c r="F36" s="28"/>
      <c r="G36" s="28"/>
      <c r="H36" s="28"/>
      <c r="I36" s="28"/>
    </row>
    <row r="37" spans="2:9" ht="30" customHeight="1" x14ac:dyDescent="0.25">
      <c r="B37" s="286"/>
      <c r="C37" s="286"/>
      <c r="D37" s="286"/>
      <c r="E37" s="38"/>
      <c r="F37" s="41"/>
      <c r="G37" s="41"/>
      <c r="H37" s="41"/>
      <c r="I37" s="28"/>
    </row>
    <row r="38" spans="2:9" ht="30" customHeight="1" x14ac:dyDescent="0.25">
      <c r="B38" s="285"/>
      <c r="C38" s="285"/>
      <c r="D38" s="285"/>
      <c r="E38" s="40"/>
      <c r="F38" s="42"/>
      <c r="G38" s="42"/>
      <c r="H38" s="42"/>
      <c r="I38" s="43"/>
    </row>
    <row r="39" spans="2:9" ht="30" customHeight="1" x14ac:dyDescent="0.25">
      <c r="B39" s="284"/>
      <c r="C39" s="284"/>
      <c r="D39" s="284"/>
      <c r="E39" s="38"/>
      <c r="F39" s="41"/>
      <c r="G39" s="41"/>
      <c r="H39" s="41"/>
      <c r="I39" s="28"/>
    </row>
    <row r="40" spans="2:9" ht="30" customHeight="1" x14ac:dyDescent="0.25">
      <c r="B40" s="284"/>
      <c r="C40" s="284"/>
      <c r="D40" s="284"/>
      <c r="E40" s="38"/>
      <c r="F40" s="41"/>
      <c r="G40" s="41"/>
      <c r="H40" s="41"/>
      <c r="I40" s="28"/>
    </row>
    <row r="41" spans="2:9" ht="30" customHeight="1" x14ac:dyDescent="0.25">
      <c r="B41" s="284"/>
      <c r="C41" s="284"/>
      <c r="D41" s="284"/>
      <c r="E41" s="38"/>
      <c r="F41" s="41"/>
      <c r="G41" s="41"/>
      <c r="H41" s="41"/>
      <c r="I41" s="28"/>
    </row>
    <row r="42" spans="2:9" ht="30" customHeight="1" x14ac:dyDescent="0.25">
      <c r="B42" s="285"/>
      <c r="C42" s="285"/>
      <c r="D42" s="285"/>
      <c r="E42" s="40"/>
      <c r="F42" s="41"/>
      <c r="G42" s="41"/>
      <c r="H42" s="41"/>
      <c r="I42" s="28"/>
    </row>
    <row r="43" spans="2:9" ht="30" customHeight="1" x14ac:dyDescent="0.25">
      <c r="B43" s="283"/>
      <c r="C43" s="283"/>
      <c r="D43" s="283"/>
      <c r="E43" s="44"/>
      <c r="F43" s="44"/>
      <c r="G43" s="44"/>
      <c r="H43" s="44"/>
      <c r="I43" s="29"/>
    </row>
    <row r="44" spans="2:9" ht="30" customHeight="1" x14ac:dyDescent="0.25">
      <c r="B44" s="284"/>
      <c r="C44" s="284"/>
      <c r="D44" s="284"/>
      <c r="E44" s="38"/>
      <c r="F44" s="41"/>
      <c r="G44" s="41"/>
      <c r="H44" s="41"/>
      <c r="I44" s="28"/>
    </row>
    <row r="45" spans="2:9" ht="30" customHeight="1" x14ac:dyDescent="0.25">
      <c r="B45" s="284"/>
      <c r="C45" s="284"/>
      <c r="D45" s="284"/>
      <c r="E45" s="38"/>
      <c r="F45" s="41"/>
      <c r="G45" s="41"/>
      <c r="H45" s="41"/>
      <c r="I45" s="28"/>
    </row>
    <row r="46" spans="2:9" ht="30" customHeight="1" x14ac:dyDescent="0.25">
      <c r="B46" s="285"/>
      <c r="C46" s="285"/>
      <c r="D46" s="285"/>
      <c r="E46" s="40"/>
      <c r="F46" s="42"/>
      <c r="G46" s="42"/>
      <c r="H46" s="42"/>
      <c r="I46" s="43"/>
    </row>
    <row r="47" spans="2:9" ht="30" customHeight="1" x14ac:dyDescent="0.25">
      <c r="B47" s="285"/>
      <c r="C47" s="285"/>
      <c r="D47" s="285"/>
      <c r="E47" s="40"/>
      <c r="F47" s="42"/>
      <c r="G47" s="42"/>
      <c r="H47" s="42"/>
      <c r="I47" s="42"/>
    </row>
    <row r="48" spans="2:9" ht="30" customHeight="1" x14ac:dyDescent="0.25">
      <c r="B48" s="287"/>
      <c r="C48" s="287"/>
      <c r="D48" s="287"/>
      <c r="E48" s="25"/>
      <c r="F48" s="31"/>
      <c r="G48" s="31"/>
      <c r="H48" s="31"/>
      <c r="I48" s="31"/>
    </row>
    <row r="49" spans="2:9" ht="30" customHeight="1" x14ac:dyDescent="0.25">
      <c r="B49" s="288"/>
      <c r="C49" s="288"/>
      <c r="D49" s="288"/>
      <c r="E49" s="38"/>
      <c r="F49" s="45"/>
      <c r="G49" s="45"/>
      <c r="H49" s="45"/>
      <c r="I49" s="45"/>
    </row>
    <row r="50" spans="2:9" ht="30" customHeight="1" x14ac:dyDescent="0.25">
      <c r="B50" s="38"/>
      <c r="E50" s="47"/>
      <c r="F50" s="48"/>
      <c r="G50" s="48"/>
      <c r="H50" s="48"/>
      <c r="I50" s="48"/>
    </row>
    <row r="51" spans="2:9" ht="30" customHeight="1" x14ac:dyDescent="0.25">
      <c r="B51" s="284"/>
      <c r="C51" s="284"/>
      <c r="D51" s="284"/>
      <c r="E51" s="25"/>
      <c r="F51" s="49"/>
      <c r="G51" s="49"/>
      <c r="H51" s="49"/>
      <c r="I51" s="49"/>
    </row>
    <row r="52" spans="2:9" ht="30" customHeight="1" x14ac:dyDescent="0.25">
      <c r="B52" s="286"/>
      <c r="C52" s="286"/>
      <c r="D52" s="286"/>
      <c r="E52" s="25"/>
      <c r="F52" s="49"/>
      <c r="G52" s="49"/>
      <c r="H52" s="49"/>
      <c r="I52" s="49"/>
    </row>
    <row r="53" spans="2:9" ht="30" customHeight="1" x14ac:dyDescent="0.25">
      <c r="B53" s="285"/>
      <c r="C53" s="285"/>
      <c r="D53" s="285"/>
      <c r="E53" s="50"/>
      <c r="F53" s="51"/>
      <c r="G53" s="52"/>
      <c r="H53" s="51"/>
      <c r="I53" s="51"/>
    </row>
    <row r="54" spans="2:9" ht="15" hidden="1" x14ac:dyDescent="0.25"/>
    <row r="55" spans="2:9" ht="15" hidden="1" x14ac:dyDescent="0.25"/>
    <row r="56" spans="2:9" ht="15" hidden="1" x14ac:dyDescent="0.25"/>
    <row r="57" spans="2:9" ht="15" hidden="1" x14ac:dyDescent="0.25"/>
    <row r="58" spans="2:9" ht="15" hidden="1" x14ac:dyDescent="0.25"/>
  </sheetData>
  <mergeCells count="30">
    <mergeCell ref="B15:D15"/>
    <mergeCell ref="B32:D32"/>
    <mergeCell ref="F32:I32"/>
    <mergeCell ref="B3:I3"/>
    <mergeCell ref="B4:I4"/>
    <mergeCell ref="B42:D42"/>
    <mergeCell ref="B43:D43"/>
    <mergeCell ref="B44:D44"/>
    <mergeCell ref="B33:D33"/>
    <mergeCell ref="B34:D34"/>
    <mergeCell ref="B35:D35"/>
    <mergeCell ref="B36:D36"/>
    <mergeCell ref="B37:D37"/>
    <mergeCell ref="B38:D38"/>
    <mergeCell ref="B52:D52"/>
    <mergeCell ref="B53:D53"/>
    <mergeCell ref="B6:I6"/>
    <mergeCell ref="B7:I7"/>
    <mergeCell ref="E11:F12"/>
    <mergeCell ref="B16:I16"/>
    <mergeCell ref="B17:I17"/>
    <mergeCell ref="B45:D45"/>
    <mergeCell ref="B46:D46"/>
    <mergeCell ref="B47:D47"/>
    <mergeCell ref="B48:D48"/>
    <mergeCell ref="B49:D49"/>
    <mergeCell ref="B51:D51"/>
    <mergeCell ref="B39:D39"/>
    <mergeCell ref="B40:D40"/>
    <mergeCell ref="B41:D4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98FE-FBCB-43C4-86F9-ABC3E272E8FB}">
  <sheetPr codeName="Sheet4"/>
  <dimension ref="A1:P141"/>
  <sheetViews>
    <sheetView showGridLines="0" topLeftCell="A73" zoomScale="80" zoomScaleNormal="80" workbookViewId="0">
      <selection activeCell="I58" sqref="I58:I71"/>
    </sheetView>
  </sheetViews>
  <sheetFormatPr defaultColWidth="0" defaultRowHeight="0" customHeight="1" zeroHeight="1" x14ac:dyDescent="0.25"/>
  <cols>
    <col min="1" max="1" width="8.7109375" customWidth="1"/>
    <col min="2" max="10" width="25.7109375" customWidth="1"/>
    <col min="11" max="11" width="8.7109375" customWidth="1"/>
    <col min="12" max="12" width="8.7109375" hidden="1" customWidth="1"/>
    <col min="13" max="13" width="30.7109375" hidden="1" customWidth="1"/>
    <col min="14" max="16384" width="8.7109375" hidden="1"/>
  </cols>
  <sheetData>
    <row r="1" spans="1:10" ht="15" hidden="1" x14ac:dyDescent="0.25"/>
    <row r="2" spans="1:10" ht="33" customHeight="1" x14ac:dyDescent="0.25">
      <c r="A2" s="23">
        <v>1000</v>
      </c>
      <c r="B2" s="23"/>
      <c r="C2" s="24"/>
      <c r="D2" s="24"/>
    </row>
    <row r="3" spans="1:10" ht="33" customHeight="1" x14ac:dyDescent="0.25">
      <c r="B3" s="276" t="s">
        <v>63</v>
      </c>
      <c r="C3" s="276"/>
      <c r="D3" s="276"/>
      <c r="E3" s="276"/>
      <c r="F3" s="276"/>
      <c r="G3" s="276"/>
      <c r="H3" s="276"/>
      <c r="I3" s="276"/>
      <c r="J3" s="276"/>
    </row>
    <row r="4" spans="1:10" ht="35.1" customHeight="1" x14ac:dyDescent="0.25">
      <c r="B4" s="330" t="s">
        <v>64</v>
      </c>
      <c r="C4" s="330"/>
      <c r="D4" s="330"/>
      <c r="E4" s="330"/>
      <c r="F4" s="330"/>
      <c r="G4" s="330"/>
      <c r="H4" s="330"/>
      <c r="I4" s="330"/>
      <c r="J4" s="330"/>
    </row>
    <row r="5" spans="1:10" ht="35.1" customHeight="1" x14ac:dyDescent="0.25">
      <c r="C5" s="77"/>
      <c r="D5" s="77"/>
      <c r="E5" s="66"/>
      <c r="F5" s="66"/>
      <c r="G5" s="66"/>
      <c r="H5" s="66"/>
      <c r="I5" s="66"/>
      <c r="J5" s="66"/>
    </row>
    <row r="6" spans="1:10" ht="33" customHeight="1" x14ac:dyDescent="0.25">
      <c r="C6" s="329" t="s">
        <v>65</v>
      </c>
      <c r="D6" s="329"/>
      <c r="E6" s="329"/>
      <c r="G6" s="327" t="s">
        <v>66</v>
      </c>
      <c r="H6" s="327"/>
      <c r="I6" s="327"/>
      <c r="J6" s="66"/>
    </row>
    <row r="7" spans="1:10" ht="66" customHeight="1" x14ac:dyDescent="0.25">
      <c r="C7" s="168" t="s">
        <v>459</v>
      </c>
      <c r="D7" s="126" t="s">
        <v>458</v>
      </c>
      <c r="E7" s="126" t="s">
        <v>457</v>
      </c>
      <c r="G7" s="126" t="s">
        <v>462</v>
      </c>
      <c r="H7" s="126" t="s">
        <v>460</v>
      </c>
      <c r="I7" s="126" t="s">
        <v>461</v>
      </c>
      <c r="J7" s="72"/>
    </row>
    <row r="8" spans="1:10" ht="33" customHeight="1" x14ac:dyDescent="0.25">
      <c r="C8" s="144"/>
      <c r="D8" s="144"/>
      <c r="E8" s="144"/>
      <c r="G8" s="144"/>
      <c r="H8" s="144"/>
      <c r="I8" s="144"/>
      <c r="J8" s="66"/>
    </row>
    <row r="9" spans="1:10" ht="33" customHeight="1" x14ac:dyDescent="0.25">
      <c r="C9" s="66"/>
      <c r="D9" s="66"/>
      <c r="E9" s="66"/>
      <c r="F9" s="66"/>
      <c r="G9" s="66"/>
      <c r="H9" s="66"/>
      <c r="I9" s="66"/>
      <c r="J9" s="66"/>
    </row>
    <row r="10" spans="1:10" ht="30" customHeight="1" x14ac:dyDescent="0.25">
      <c r="B10" s="305" t="s">
        <v>296</v>
      </c>
      <c r="C10" s="305"/>
      <c r="D10" s="305"/>
      <c r="E10" s="305"/>
      <c r="F10" s="305"/>
      <c r="G10" s="305"/>
      <c r="H10" s="305"/>
      <c r="I10" s="305"/>
      <c r="J10" s="305"/>
    </row>
    <row r="11" spans="1:10" ht="60" customHeight="1" x14ac:dyDescent="0.25">
      <c r="B11" s="302" t="s">
        <v>578</v>
      </c>
      <c r="C11" s="302"/>
      <c r="D11" s="302"/>
      <c r="E11" s="302"/>
      <c r="F11" s="302"/>
      <c r="G11" s="302"/>
      <c r="H11" s="302"/>
      <c r="I11" s="302"/>
      <c r="J11" s="302"/>
    </row>
    <row r="12" spans="1:10" ht="30" customHeight="1" x14ac:dyDescent="0.25">
      <c r="B12" s="64"/>
      <c r="C12" s="64"/>
      <c r="D12" s="325" t="s">
        <v>600</v>
      </c>
      <c r="E12" s="325"/>
      <c r="F12" s="325"/>
      <c r="G12" s="325"/>
      <c r="H12" s="64"/>
      <c r="I12" s="64"/>
      <c r="J12" s="64"/>
    </row>
    <row r="13" spans="1:10" ht="60" customHeight="1" x14ac:dyDescent="0.25">
      <c r="B13" s="64"/>
      <c r="C13" s="64"/>
      <c r="D13" s="331" t="s">
        <v>582</v>
      </c>
      <c r="E13" s="331"/>
      <c r="F13" s="331"/>
      <c r="G13" s="331"/>
      <c r="H13" s="64"/>
      <c r="I13" s="64"/>
      <c r="J13" s="64"/>
    </row>
    <row r="14" spans="1:10" ht="39.950000000000003" customHeight="1" x14ac:dyDescent="0.25">
      <c r="B14" s="64"/>
      <c r="C14" s="64"/>
      <c r="D14" s="55" t="s">
        <v>580</v>
      </c>
      <c r="E14" s="55" t="s">
        <v>286</v>
      </c>
      <c r="F14" s="55" t="s">
        <v>267</v>
      </c>
      <c r="G14" s="55" t="s">
        <v>268</v>
      </c>
      <c r="H14" s="64"/>
      <c r="I14" s="64"/>
      <c r="J14" s="64"/>
    </row>
    <row r="15" spans="1:10" ht="30" customHeight="1" x14ac:dyDescent="0.25">
      <c r="B15" s="64"/>
      <c r="D15" s="249" t="s">
        <v>45</v>
      </c>
      <c r="E15" s="143"/>
      <c r="F15" s="143"/>
      <c r="G15" s="140">
        <v>45</v>
      </c>
      <c r="H15" s="64"/>
      <c r="I15" s="64"/>
      <c r="J15" s="64"/>
    </row>
    <row r="16" spans="1:10" ht="15" customHeight="1" x14ac:dyDescent="0.25">
      <c r="C16" s="125"/>
      <c r="D16" s="125"/>
      <c r="E16" s="125"/>
      <c r="F16" s="125"/>
      <c r="G16" s="125"/>
      <c r="H16" s="125"/>
      <c r="I16" s="125"/>
      <c r="J16" s="125"/>
    </row>
    <row r="17" spans="3:10" ht="30" customHeight="1" x14ac:dyDescent="0.25">
      <c r="C17" s="125"/>
      <c r="D17" s="325" t="s">
        <v>601</v>
      </c>
      <c r="E17" s="325"/>
      <c r="F17" s="325"/>
      <c r="G17" s="325"/>
      <c r="H17" s="125"/>
      <c r="I17" s="125"/>
      <c r="J17" s="125"/>
    </row>
    <row r="18" spans="3:10" ht="60" customHeight="1" x14ac:dyDescent="0.25">
      <c r="C18" s="125"/>
      <c r="D18" s="331" t="s">
        <v>579</v>
      </c>
      <c r="E18" s="331"/>
      <c r="F18" s="331"/>
      <c r="G18" s="331"/>
      <c r="H18" s="125"/>
      <c r="I18" s="125"/>
      <c r="J18" s="125"/>
    </row>
    <row r="19" spans="3:10" ht="39.950000000000003" customHeight="1" x14ac:dyDescent="0.25">
      <c r="D19" s="55" t="s">
        <v>581</v>
      </c>
      <c r="E19" s="55" t="s">
        <v>286</v>
      </c>
      <c r="F19" s="55" t="s">
        <v>267</v>
      </c>
      <c r="G19" s="55" t="s">
        <v>268</v>
      </c>
      <c r="I19" s="68"/>
    </row>
    <row r="20" spans="3:10" ht="30" customHeight="1" x14ac:dyDescent="0.35">
      <c r="D20" s="129" t="s">
        <v>68</v>
      </c>
      <c r="E20" s="143"/>
      <c r="F20" s="143"/>
      <c r="G20" s="140">
        <v>524</v>
      </c>
      <c r="H20" s="250" t="str">
        <f>IF(AND(NOT(SUM(E15:F15)=0),NOT(SUM(E20:F26)=0)),"Välj antingen det plats- eller marknadsbaserade perspektivet.","")</f>
        <v/>
      </c>
    </row>
    <row r="21" spans="3:10" ht="30" customHeight="1" x14ac:dyDescent="0.25">
      <c r="D21" s="129" t="s">
        <v>33</v>
      </c>
      <c r="E21" s="143"/>
      <c r="F21" s="143"/>
      <c r="G21" s="140">
        <v>2.99</v>
      </c>
    </row>
    <row r="22" spans="3:10" ht="30" customHeight="1" x14ac:dyDescent="0.25">
      <c r="D22" s="129" t="s">
        <v>69</v>
      </c>
      <c r="E22" s="143"/>
      <c r="F22" s="143"/>
      <c r="G22" s="140">
        <v>21</v>
      </c>
    </row>
    <row r="23" spans="3:10" ht="30" customHeight="1" x14ac:dyDescent="0.25">
      <c r="D23" s="129" t="s">
        <v>70</v>
      </c>
      <c r="E23" s="143"/>
      <c r="F23" s="143"/>
      <c r="G23" s="140">
        <v>30</v>
      </c>
    </row>
    <row r="24" spans="3:10" ht="30" customHeight="1" x14ac:dyDescent="0.25">
      <c r="D24" s="129" t="s">
        <v>39</v>
      </c>
      <c r="E24" s="143"/>
      <c r="F24" s="143"/>
      <c r="G24" s="140">
        <v>4.04</v>
      </c>
    </row>
    <row r="25" spans="3:10" ht="30" customHeight="1" x14ac:dyDescent="0.25">
      <c r="D25" s="129" t="s">
        <v>71</v>
      </c>
      <c r="E25" s="143"/>
      <c r="F25" s="143"/>
      <c r="G25" s="140">
        <v>0</v>
      </c>
    </row>
    <row r="26" spans="3:10" ht="30" customHeight="1" x14ac:dyDescent="0.25">
      <c r="D26" s="183" t="s">
        <v>72</v>
      </c>
      <c r="E26" s="143"/>
      <c r="F26" s="143"/>
      <c r="G26" s="143"/>
    </row>
    <row r="27" spans="3:10" ht="30" customHeight="1" x14ac:dyDescent="0.25">
      <c r="E27" s="248"/>
      <c r="F27" s="248"/>
    </row>
    <row r="28" spans="3:10" ht="30" customHeight="1" x14ac:dyDescent="0.25">
      <c r="D28" s="298" t="s">
        <v>599</v>
      </c>
      <c r="E28" s="298"/>
      <c r="F28" s="298"/>
      <c r="G28" s="298"/>
    </row>
    <row r="29" spans="3:10" ht="30" customHeight="1" x14ac:dyDescent="0.25">
      <c r="E29" s="248"/>
      <c r="F29" s="248"/>
    </row>
    <row r="30" spans="3:10" ht="30" customHeight="1" x14ac:dyDescent="0.25">
      <c r="D30" s="55" t="s">
        <v>73</v>
      </c>
      <c r="E30" s="55" t="s">
        <v>276</v>
      </c>
      <c r="F30" s="55" t="s">
        <v>277</v>
      </c>
      <c r="G30" s="55" t="s">
        <v>278</v>
      </c>
    </row>
    <row r="31" spans="3:10" ht="30" customHeight="1" x14ac:dyDescent="0.25">
      <c r="D31" s="129" t="s">
        <v>74</v>
      </c>
      <c r="E31" s="143"/>
      <c r="F31" s="140">
        <v>21</v>
      </c>
      <c r="G31" s="140">
        <v>268</v>
      </c>
    </row>
    <row r="32" spans="3:10" ht="30" customHeight="1" x14ac:dyDescent="0.25">
      <c r="D32" s="129" t="s">
        <v>463</v>
      </c>
      <c r="E32" s="143"/>
      <c r="F32" s="140">
        <v>42</v>
      </c>
      <c r="G32" s="140">
        <v>206</v>
      </c>
    </row>
    <row r="33" spans="2:10" ht="30" customHeight="1" x14ac:dyDescent="0.25">
      <c r="D33" s="129" t="s">
        <v>71</v>
      </c>
      <c r="E33" s="143"/>
      <c r="F33" s="140">
        <v>0</v>
      </c>
      <c r="G33" s="140">
        <v>0</v>
      </c>
    </row>
    <row r="34" spans="2:10" ht="30" customHeight="1" x14ac:dyDescent="0.25">
      <c r="D34" s="129" t="s">
        <v>337</v>
      </c>
      <c r="E34" s="143"/>
      <c r="F34" s="143"/>
      <c r="G34" s="140">
        <v>0</v>
      </c>
      <c r="I34" s="106"/>
    </row>
    <row r="35" spans="2:10" ht="30" customHeight="1" x14ac:dyDescent="0.25">
      <c r="D35" s="129" t="s">
        <v>338</v>
      </c>
      <c r="E35" s="143"/>
      <c r="F35" s="143"/>
      <c r="G35" s="140">
        <v>0</v>
      </c>
      <c r="I35" s="106"/>
    </row>
    <row r="36" spans="2:10" ht="30" customHeight="1" x14ac:dyDescent="0.25">
      <c r="D36" s="184" t="s">
        <v>72</v>
      </c>
      <c r="E36" s="143"/>
      <c r="F36" s="143"/>
      <c r="G36" s="143"/>
      <c r="I36" s="106"/>
    </row>
    <row r="37" spans="2:10" ht="35.1" customHeight="1" x14ac:dyDescent="0.25">
      <c r="D37" s="326" t="s">
        <v>348</v>
      </c>
      <c r="E37" s="326"/>
      <c r="F37" s="326"/>
      <c r="G37" s="326"/>
      <c r="H37" s="229"/>
      <c r="I37" s="106"/>
    </row>
    <row r="38" spans="2:10" ht="16.5" customHeight="1" x14ac:dyDescent="0.25">
      <c r="D38" s="328" t="s">
        <v>364</v>
      </c>
      <c r="E38" s="328"/>
      <c r="F38" s="328"/>
      <c r="G38" s="328"/>
      <c r="H38" s="230"/>
      <c r="I38" s="106"/>
    </row>
    <row r="39" spans="2:10" ht="30" customHeight="1" x14ac:dyDescent="0.25">
      <c r="E39" s="127"/>
      <c r="F39" s="127"/>
      <c r="G39" s="127"/>
      <c r="H39" s="127"/>
      <c r="I39" s="106"/>
    </row>
    <row r="40" spans="2:10" ht="30" customHeight="1" x14ac:dyDescent="0.25">
      <c r="B40" s="325" t="s">
        <v>297</v>
      </c>
      <c r="C40" s="325"/>
      <c r="D40" s="325"/>
      <c r="E40" s="325"/>
      <c r="F40" s="325"/>
      <c r="G40" s="325"/>
      <c r="H40" s="325"/>
      <c r="I40" s="325"/>
      <c r="J40" s="325"/>
    </row>
    <row r="41" spans="2:10" ht="60" customHeight="1" x14ac:dyDescent="0.25">
      <c r="B41" s="279" t="s">
        <v>501</v>
      </c>
      <c r="C41" s="279"/>
      <c r="D41" s="279"/>
      <c r="E41" s="279"/>
      <c r="F41" s="279"/>
      <c r="G41" s="279"/>
      <c r="H41" s="279"/>
      <c r="I41" s="279"/>
      <c r="J41" s="279"/>
    </row>
    <row r="42" spans="2:10" ht="20.100000000000001" customHeight="1" x14ac:dyDescent="0.25">
      <c r="E42" s="28"/>
      <c r="I42" s="73"/>
      <c r="J42" s="28"/>
    </row>
    <row r="43" spans="2:10" ht="30" customHeight="1" x14ac:dyDescent="0.25">
      <c r="D43" s="55" t="s">
        <v>76</v>
      </c>
      <c r="E43" s="55" t="s">
        <v>77</v>
      </c>
      <c r="F43" s="55" t="s">
        <v>78</v>
      </c>
      <c r="G43" s="55" t="s">
        <v>79</v>
      </c>
      <c r="I43" s="68"/>
      <c r="J43" s="68"/>
    </row>
    <row r="44" spans="2:10" ht="30" customHeight="1" x14ac:dyDescent="0.25">
      <c r="D44" s="129" t="s">
        <v>413</v>
      </c>
      <c r="E44" s="143"/>
      <c r="F44" s="222">
        <v>0.29740000000000005</v>
      </c>
      <c r="G44" s="142">
        <v>2.6766000000000001</v>
      </c>
      <c r="I44" s="28"/>
      <c r="J44" s="63"/>
    </row>
    <row r="45" spans="2:10" ht="30" customHeight="1" x14ac:dyDescent="0.25">
      <c r="D45" s="129" t="s">
        <v>80</v>
      </c>
      <c r="E45" s="143"/>
      <c r="F45" s="222">
        <v>0.2581</v>
      </c>
      <c r="G45" s="142">
        <v>2.3229000000000002</v>
      </c>
      <c r="I45" s="28"/>
      <c r="J45" s="63"/>
    </row>
    <row r="46" spans="2:10" ht="30" customHeight="1" x14ac:dyDescent="0.25">
      <c r="D46" s="129" t="s">
        <v>81</v>
      </c>
      <c r="E46" s="143"/>
      <c r="F46" s="142">
        <v>1.0649999999999999</v>
      </c>
      <c r="G46" s="140">
        <v>0</v>
      </c>
      <c r="I46" s="28"/>
      <c r="J46" s="63"/>
    </row>
    <row r="47" spans="2:10" ht="30" customHeight="1" x14ac:dyDescent="0.25">
      <c r="D47" s="129" t="s">
        <v>388</v>
      </c>
      <c r="E47" s="143"/>
      <c r="F47" s="142">
        <v>0.55800000000000005</v>
      </c>
      <c r="G47" s="140">
        <v>0</v>
      </c>
      <c r="I47" s="28"/>
      <c r="J47" s="63"/>
    </row>
    <row r="48" spans="2:10" ht="30" customHeight="1" x14ac:dyDescent="0.25">
      <c r="D48" s="129" t="s">
        <v>387</v>
      </c>
      <c r="E48" s="143"/>
      <c r="F48" s="142">
        <v>1.0960000000000001</v>
      </c>
      <c r="G48" s="140">
        <v>0</v>
      </c>
      <c r="I48" s="28"/>
      <c r="J48" s="63"/>
    </row>
    <row r="49" spans="2:10" ht="30" customHeight="1" x14ac:dyDescent="0.25">
      <c r="D49" s="129" t="s">
        <v>400</v>
      </c>
      <c r="E49" s="143"/>
      <c r="F49" s="142">
        <v>0.4</v>
      </c>
      <c r="G49" s="140">
        <v>0</v>
      </c>
      <c r="I49" s="28"/>
      <c r="J49" s="63"/>
    </row>
    <row r="50" spans="2:10" ht="30" customHeight="1" x14ac:dyDescent="0.25">
      <c r="D50" s="129" t="s">
        <v>399</v>
      </c>
      <c r="E50" s="143"/>
      <c r="F50" s="142">
        <v>0.36</v>
      </c>
      <c r="G50" s="140">
        <v>0</v>
      </c>
      <c r="I50" s="28"/>
      <c r="J50" s="62"/>
    </row>
    <row r="51" spans="2:10" ht="30" customHeight="1" x14ac:dyDescent="0.25">
      <c r="D51" s="183" t="s">
        <v>72</v>
      </c>
      <c r="E51" s="143"/>
      <c r="F51" s="143"/>
      <c r="G51" s="143"/>
      <c r="I51" s="28"/>
      <c r="J51" s="62"/>
    </row>
    <row r="52" spans="2:10" ht="30" customHeight="1" x14ac:dyDescent="0.25">
      <c r="D52" s="183" t="s">
        <v>72</v>
      </c>
      <c r="E52" s="143"/>
      <c r="F52" s="143"/>
      <c r="G52" s="143"/>
      <c r="I52" s="28"/>
      <c r="J52" s="62"/>
    </row>
    <row r="53" spans="2:10" ht="30" customHeight="1" x14ac:dyDescent="0.25">
      <c r="C53" s="85"/>
      <c r="D53" s="85"/>
      <c r="E53" s="223"/>
      <c r="F53" s="85"/>
      <c r="G53" s="38"/>
      <c r="H53" s="38"/>
      <c r="I53" s="41"/>
      <c r="J53" s="41"/>
    </row>
    <row r="54" spans="2:10" ht="30" customHeight="1" x14ac:dyDescent="0.25">
      <c r="B54" s="305" t="s">
        <v>298</v>
      </c>
      <c r="C54" s="305"/>
      <c r="D54" s="305"/>
      <c r="E54" s="305"/>
      <c r="F54" s="305"/>
      <c r="G54" s="305"/>
      <c r="H54" s="305"/>
      <c r="I54" s="305"/>
      <c r="J54" s="305"/>
    </row>
    <row r="55" spans="2:10" ht="60" customHeight="1" x14ac:dyDescent="0.25">
      <c r="B55" s="279" t="s">
        <v>466</v>
      </c>
      <c r="C55" s="279"/>
      <c r="D55" s="279"/>
      <c r="E55" s="279"/>
      <c r="F55" s="279"/>
      <c r="G55" s="279"/>
      <c r="H55" s="279"/>
      <c r="I55" s="279"/>
      <c r="J55" s="279"/>
    </row>
    <row r="56" spans="2:10" ht="20.100000000000001" customHeight="1" x14ac:dyDescent="0.25">
      <c r="C56" s="38"/>
      <c r="D56" s="95" t="s">
        <v>82</v>
      </c>
      <c r="E56" s="38"/>
      <c r="F56" s="38"/>
      <c r="G56" s="38"/>
      <c r="H56" s="38"/>
      <c r="I56" s="38"/>
      <c r="J56" s="38"/>
    </row>
    <row r="57" spans="2:10" ht="30" customHeight="1" x14ac:dyDescent="0.25">
      <c r="C57" s="308" t="s">
        <v>83</v>
      </c>
      <c r="D57" s="309"/>
      <c r="E57" s="55" t="s">
        <v>84</v>
      </c>
      <c r="F57" s="54" t="s">
        <v>85</v>
      </c>
      <c r="G57" s="54" t="s">
        <v>86</v>
      </c>
      <c r="H57" s="55" t="s">
        <v>87</v>
      </c>
      <c r="I57" s="55" t="s">
        <v>88</v>
      </c>
      <c r="J57" s="55" t="s">
        <v>55</v>
      </c>
    </row>
    <row r="58" spans="2:10" ht="30" customHeight="1" x14ac:dyDescent="0.25">
      <c r="C58" s="310" t="s">
        <v>89</v>
      </c>
      <c r="D58" s="311"/>
      <c r="E58" s="185" t="s">
        <v>90</v>
      </c>
      <c r="F58" s="143"/>
      <c r="G58" s="143">
        <v>100</v>
      </c>
      <c r="H58" s="146"/>
      <c r="I58" s="87">
        <v>0</v>
      </c>
      <c r="J58" s="245">
        <f>IF(H58="Fossilfritt", 0.01, 0.07)</f>
        <v>7.0000000000000007E-2</v>
      </c>
    </row>
    <row r="59" spans="2:10" ht="30" customHeight="1" x14ac:dyDescent="0.25">
      <c r="C59" s="312"/>
      <c r="D59" s="313"/>
      <c r="E59" s="185" t="s">
        <v>91</v>
      </c>
      <c r="F59" s="143"/>
      <c r="G59" s="143">
        <v>100</v>
      </c>
      <c r="H59" s="146"/>
      <c r="I59" s="87">
        <v>20</v>
      </c>
      <c r="J59" s="245">
        <f t="shared" ref="J59:J73" si="0">IF(H59="Fossilfritt", 0.01, 0.07)</f>
        <v>7.0000000000000007E-2</v>
      </c>
    </row>
    <row r="60" spans="2:10" ht="30" customHeight="1" x14ac:dyDescent="0.25">
      <c r="C60" s="310" t="s">
        <v>92</v>
      </c>
      <c r="D60" s="311"/>
      <c r="E60" s="185" t="s">
        <v>282</v>
      </c>
      <c r="F60" s="143"/>
      <c r="G60" s="143">
        <v>100</v>
      </c>
      <c r="H60" s="146"/>
      <c r="I60" s="87">
        <v>0</v>
      </c>
      <c r="J60" s="245">
        <f t="shared" si="0"/>
        <v>7.0000000000000007E-2</v>
      </c>
    </row>
    <row r="61" spans="2:10" ht="30" customHeight="1" x14ac:dyDescent="0.25">
      <c r="C61" s="312"/>
      <c r="D61" s="313"/>
      <c r="E61" s="185" t="s">
        <v>94</v>
      </c>
      <c r="F61" s="143"/>
      <c r="G61" s="143">
        <v>100</v>
      </c>
      <c r="H61" s="146"/>
      <c r="I61" s="87">
        <v>1600</v>
      </c>
      <c r="J61" s="245">
        <f t="shared" si="0"/>
        <v>7.0000000000000007E-2</v>
      </c>
    </row>
    <row r="62" spans="2:10" ht="30" customHeight="1" x14ac:dyDescent="0.25">
      <c r="C62" s="314" t="s">
        <v>93</v>
      </c>
      <c r="D62" s="315"/>
      <c r="E62" s="185" t="s">
        <v>94</v>
      </c>
      <c r="F62" s="143"/>
      <c r="G62" s="143">
        <v>100</v>
      </c>
      <c r="H62" s="146"/>
      <c r="I62" s="87">
        <v>420</v>
      </c>
      <c r="J62" s="245">
        <f t="shared" si="0"/>
        <v>7.0000000000000007E-2</v>
      </c>
    </row>
    <row r="63" spans="2:10" ht="30" customHeight="1" x14ac:dyDescent="0.25">
      <c r="C63" s="310" t="s">
        <v>164</v>
      </c>
      <c r="D63" s="316"/>
      <c r="E63" s="185" t="s">
        <v>344</v>
      </c>
      <c r="F63" s="143"/>
      <c r="G63" s="143">
        <v>100</v>
      </c>
      <c r="H63" s="146"/>
      <c r="I63" s="87">
        <v>0</v>
      </c>
      <c r="J63" s="245">
        <f t="shared" si="0"/>
        <v>7.0000000000000007E-2</v>
      </c>
    </row>
    <row r="64" spans="2:10" ht="30" customHeight="1" x14ac:dyDescent="0.25">
      <c r="C64" s="317"/>
      <c r="D64" s="318"/>
      <c r="E64" s="185" t="s">
        <v>94</v>
      </c>
      <c r="F64" s="143"/>
      <c r="G64" s="143">
        <v>100</v>
      </c>
      <c r="H64" s="146"/>
      <c r="I64" s="87">
        <v>124</v>
      </c>
      <c r="J64" s="245">
        <f t="shared" si="0"/>
        <v>7.0000000000000007E-2</v>
      </c>
    </row>
    <row r="65" spans="2:10" ht="30" customHeight="1" x14ac:dyDescent="0.25">
      <c r="C65" s="319"/>
      <c r="D65" s="318"/>
      <c r="E65" s="185" t="s">
        <v>95</v>
      </c>
      <c r="F65" s="143"/>
      <c r="G65" s="143">
        <v>100</v>
      </c>
      <c r="H65" s="146"/>
      <c r="I65" s="87">
        <v>360</v>
      </c>
      <c r="J65" s="245">
        <f t="shared" si="0"/>
        <v>7.0000000000000007E-2</v>
      </c>
    </row>
    <row r="66" spans="2:10" ht="30" customHeight="1" x14ac:dyDescent="0.25">
      <c r="C66" s="319"/>
      <c r="D66" s="318"/>
      <c r="E66" s="185" t="s">
        <v>96</v>
      </c>
      <c r="F66" s="143"/>
      <c r="G66" s="143">
        <v>100</v>
      </c>
      <c r="H66" s="146"/>
      <c r="I66" s="87">
        <v>360</v>
      </c>
      <c r="J66" s="245">
        <f t="shared" si="0"/>
        <v>7.0000000000000007E-2</v>
      </c>
    </row>
    <row r="67" spans="2:10" ht="30" customHeight="1" x14ac:dyDescent="0.25">
      <c r="C67" s="320"/>
      <c r="D67" s="321"/>
      <c r="E67" s="185" t="s">
        <v>97</v>
      </c>
      <c r="F67" s="143"/>
      <c r="G67" s="143">
        <v>100</v>
      </c>
      <c r="H67" s="146"/>
      <c r="I67" s="87">
        <v>180</v>
      </c>
      <c r="J67" s="245">
        <f t="shared" si="0"/>
        <v>7.0000000000000007E-2</v>
      </c>
    </row>
    <row r="68" spans="2:10" ht="30" customHeight="1" x14ac:dyDescent="0.25">
      <c r="C68" s="317" t="s">
        <v>98</v>
      </c>
      <c r="D68" s="322"/>
      <c r="E68" s="185" t="s">
        <v>90</v>
      </c>
      <c r="F68" s="143"/>
      <c r="G68" s="143">
        <v>100</v>
      </c>
      <c r="H68" s="146"/>
      <c r="I68" s="87">
        <v>0</v>
      </c>
      <c r="J68" s="245">
        <f t="shared" si="0"/>
        <v>7.0000000000000007E-2</v>
      </c>
    </row>
    <row r="69" spans="2:10" ht="30" customHeight="1" x14ac:dyDescent="0.25">
      <c r="C69" s="312"/>
      <c r="D69" s="313"/>
      <c r="E69" s="185" t="s">
        <v>91</v>
      </c>
      <c r="F69" s="143"/>
      <c r="G69" s="143">
        <v>100</v>
      </c>
      <c r="H69" s="146"/>
      <c r="I69" s="87">
        <v>20</v>
      </c>
      <c r="J69" s="245">
        <f t="shared" si="0"/>
        <v>7.0000000000000007E-2</v>
      </c>
    </row>
    <row r="70" spans="2:10" ht="30" customHeight="1" x14ac:dyDescent="0.25">
      <c r="C70" s="310" t="s">
        <v>99</v>
      </c>
      <c r="D70" s="311"/>
      <c r="E70" s="185" t="s">
        <v>90</v>
      </c>
      <c r="F70" s="143"/>
      <c r="G70" s="143">
        <v>100</v>
      </c>
      <c r="H70" s="146"/>
      <c r="I70" s="87">
        <v>0</v>
      </c>
      <c r="J70" s="245">
        <f t="shared" si="0"/>
        <v>7.0000000000000007E-2</v>
      </c>
    </row>
    <row r="71" spans="2:10" ht="30" customHeight="1" x14ac:dyDescent="0.25">
      <c r="C71" s="312"/>
      <c r="D71" s="313"/>
      <c r="E71" s="185" t="s">
        <v>91</v>
      </c>
      <c r="F71" s="143"/>
      <c r="G71" s="143">
        <v>100</v>
      </c>
      <c r="H71" s="146"/>
      <c r="I71" s="87">
        <v>20</v>
      </c>
      <c r="J71" s="245">
        <f t="shared" si="0"/>
        <v>7.0000000000000007E-2</v>
      </c>
    </row>
    <row r="72" spans="2:10" ht="30" customHeight="1" x14ac:dyDescent="0.25">
      <c r="C72" s="314" t="s">
        <v>535</v>
      </c>
      <c r="D72" s="315"/>
      <c r="E72" s="185" t="s">
        <v>94</v>
      </c>
      <c r="F72" s="143"/>
      <c r="G72" s="143">
        <v>100</v>
      </c>
      <c r="H72" s="146"/>
      <c r="I72" s="87">
        <v>3300</v>
      </c>
      <c r="J72" s="142">
        <f t="shared" si="0"/>
        <v>7.0000000000000007E-2</v>
      </c>
    </row>
    <row r="73" spans="2:10" ht="30" customHeight="1" x14ac:dyDescent="0.25">
      <c r="C73" s="314" t="s">
        <v>539</v>
      </c>
      <c r="D73" s="315"/>
      <c r="E73" s="185" t="s">
        <v>537</v>
      </c>
      <c r="F73" s="143"/>
      <c r="G73" s="143">
        <v>100</v>
      </c>
      <c r="H73" s="146"/>
      <c r="I73" s="87">
        <v>3500</v>
      </c>
      <c r="J73" s="142">
        <f t="shared" si="0"/>
        <v>7.0000000000000007E-2</v>
      </c>
    </row>
    <row r="74" spans="2:10" ht="15" customHeight="1" x14ac:dyDescent="0.25">
      <c r="C74" s="307" t="s">
        <v>283</v>
      </c>
      <c r="D74" s="307"/>
      <c r="E74" s="307"/>
      <c r="F74" s="307"/>
      <c r="G74" s="307"/>
      <c r="H74" s="307"/>
      <c r="I74" s="307"/>
      <c r="J74" s="307"/>
    </row>
    <row r="75" spans="2:10" ht="15" customHeight="1" x14ac:dyDescent="0.25">
      <c r="C75" s="323" t="s">
        <v>345</v>
      </c>
      <c r="D75" s="323"/>
      <c r="E75" s="323"/>
      <c r="F75" s="323"/>
      <c r="G75" s="323"/>
      <c r="H75" s="323"/>
      <c r="I75" s="323"/>
      <c r="J75" s="323"/>
    </row>
    <row r="76" spans="2:10" ht="15" customHeight="1" x14ac:dyDescent="0.25">
      <c r="C76" s="324" t="s">
        <v>536</v>
      </c>
      <c r="D76" s="324"/>
      <c r="E76" s="324"/>
      <c r="F76" s="324"/>
      <c r="G76" s="324"/>
      <c r="H76" s="324"/>
      <c r="I76" s="324"/>
      <c r="J76" s="324"/>
    </row>
    <row r="77" spans="2:10" ht="30" customHeight="1" x14ac:dyDescent="0.25">
      <c r="C77" s="161"/>
      <c r="D77" s="161"/>
      <c r="E77" s="161"/>
      <c r="F77" s="161"/>
      <c r="G77" s="161"/>
      <c r="H77" s="161"/>
      <c r="I77" s="161"/>
      <c r="J77" s="161"/>
    </row>
    <row r="78" spans="2:10" ht="30" customHeight="1" x14ac:dyDescent="0.25">
      <c r="B78" s="305" t="s">
        <v>406</v>
      </c>
      <c r="C78" s="305"/>
      <c r="D78" s="305"/>
      <c r="E78" s="305"/>
      <c r="F78" s="305"/>
      <c r="G78" s="305"/>
      <c r="H78" s="305"/>
      <c r="I78" s="305"/>
      <c r="J78" s="305"/>
    </row>
    <row r="79" spans="2:10" ht="50.1" customHeight="1" x14ac:dyDescent="0.25">
      <c r="B79" s="306" t="s">
        <v>464</v>
      </c>
      <c r="C79" s="306"/>
      <c r="D79" s="306"/>
      <c r="E79" s="306"/>
      <c r="F79" s="306"/>
      <c r="G79" s="306"/>
      <c r="H79" s="306"/>
      <c r="I79" s="306"/>
      <c r="J79" s="306"/>
    </row>
    <row r="80" spans="2:10" ht="30" customHeight="1" x14ac:dyDescent="0.25">
      <c r="C80" s="298" t="s">
        <v>376</v>
      </c>
      <c r="D80" s="298"/>
      <c r="E80" s="298"/>
      <c r="F80" s="85"/>
      <c r="G80" s="298" t="s">
        <v>271</v>
      </c>
      <c r="H80" s="298"/>
      <c r="I80" s="298"/>
      <c r="J80" s="96"/>
    </row>
    <row r="81" spans="2:10" ht="50.1" customHeight="1" x14ac:dyDescent="0.25">
      <c r="C81" s="300" t="s">
        <v>373</v>
      </c>
      <c r="D81" s="300"/>
      <c r="E81" s="300"/>
      <c r="F81" s="85"/>
      <c r="G81" s="300" t="s">
        <v>363</v>
      </c>
      <c r="H81" s="300"/>
      <c r="I81" s="300"/>
      <c r="J81" s="231"/>
    </row>
    <row r="82" spans="2:10" ht="6.95" customHeight="1" x14ac:dyDescent="0.25">
      <c r="C82" s="220"/>
      <c r="D82" s="220"/>
      <c r="E82" s="220"/>
      <c r="F82" s="85"/>
      <c r="G82" s="38"/>
      <c r="H82" s="220"/>
      <c r="I82" s="220"/>
      <c r="J82" s="220"/>
    </row>
    <row r="83" spans="2:10" ht="30" customHeight="1" x14ac:dyDescent="0.25">
      <c r="C83" s="131" t="s">
        <v>374</v>
      </c>
      <c r="D83" s="171"/>
      <c r="E83" s="128" t="s">
        <v>109</v>
      </c>
      <c r="F83" s="85"/>
      <c r="H83" s="130" t="s">
        <v>106</v>
      </c>
    </row>
    <row r="84" spans="2:10" ht="30" customHeight="1" x14ac:dyDescent="0.25">
      <c r="C84" s="181"/>
      <c r="E84" s="180"/>
      <c r="F84" s="85"/>
      <c r="G84" s="131" t="s">
        <v>273</v>
      </c>
      <c r="H84" s="153"/>
      <c r="I84" s="182" t="s">
        <v>108</v>
      </c>
    </row>
    <row r="85" spans="2:10" ht="30" customHeight="1" x14ac:dyDescent="0.25">
      <c r="C85" s="131" t="s">
        <v>375</v>
      </c>
      <c r="D85" s="171"/>
      <c r="E85" s="128" t="s">
        <v>113</v>
      </c>
      <c r="F85" s="85"/>
    </row>
    <row r="86" spans="2:10" ht="30" customHeight="1" x14ac:dyDescent="0.25">
      <c r="C86" s="175" t="s">
        <v>295</v>
      </c>
      <c r="D86" s="140">
        <f>(('Lägg in data här'!D85/100)*0.7)/Referenser!C89*100</f>
        <v>0</v>
      </c>
      <c r="E86" s="128" t="s">
        <v>113</v>
      </c>
      <c r="F86" s="85"/>
      <c r="G86" s="76" t="s">
        <v>84</v>
      </c>
      <c r="H86" s="160" t="s">
        <v>274</v>
      </c>
      <c r="I86" s="160" t="s">
        <v>272</v>
      </c>
    </row>
    <row r="87" spans="2:10" ht="30" customHeight="1" x14ac:dyDescent="0.25">
      <c r="C87" s="105"/>
      <c r="E87" s="105"/>
      <c r="F87" s="85"/>
      <c r="G87" s="97" t="s">
        <v>100</v>
      </c>
      <c r="H87" s="172"/>
      <c r="I87" s="159">
        <v>4.8999999999999998E-3</v>
      </c>
    </row>
    <row r="88" spans="2:10" ht="30" customHeight="1" x14ac:dyDescent="0.25">
      <c r="C88" s="85"/>
      <c r="D88" s="130" t="s">
        <v>106</v>
      </c>
      <c r="E88" s="105"/>
      <c r="F88" s="85"/>
      <c r="G88" s="97" t="s">
        <v>101</v>
      </c>
      <c r="H88" s="143"/>
      <c r="I88" s="158">
        <v>4.8999999999999998E-3</v>
      </c>
    </row>
    <row r="89" spans="2:10" ht="30" customHeight="1" x14ac:dyDescent="0.25">
      <c r="C89" s="131" t="s">
        <v>372</v>
      </c>
      <c r="D89" s="153"/>
      <c r="E89" s="128" t="s">
        <v>108</v>
      </c>
      <c r="F89" s="85"/>
      <c r="G89" s="97" t="s">
        <v>103</v>
      </c>
      <c r="H89" s="171"/>
      <c r="I89" s="158">
        <v>2.9999999999999997E-4</v>
      </c>
    </row>
    <row r="90" spans="2:10" ht="30" customHeight="1" x14ac:dyDescent="0.25">
      <c r="C90" s="131"/>
      <c r="D90" s="130" t="s">
        <v>110</v>
      </c>
      <c r="E90" s="105"/>
      <c r="F90" s="85"/>
      <c r="G90" s="97" t="s">
        <v>102</v>
      </c>
      <c r="H90" s="143"/>
      <c r="I90" s="157">
        <v>0.02</v>
      </c>
    </row>
    <row r="91" spans="2:10" ht="30" customHeight="1" x14ac:dyDescent="0.25">
      <c r="C91" s="131" t="s">
        <v>372</v>
      </c>
      <c r="D91" s="87">
        <f>D83*(D86/100)*Referenser!C89*(Referenser!C90/100)</f>
        <v>0</v>
      </c>
      <c r="E91" s="128" t="s">
        <v>108</v>
      </c>
      <c r="F91" s="85"/>
      <c r="G91" s="97" t="s">
        <v>270</v>
      </c>
      <c r="H91" s="171"/>
      <c r="I91" s="221">
        <v>1</v>
      </c>
    </row>
    <row r="92" spans="2:10" ht="30" customHeight="1" x14ac:dyDescent="0.25">
      <c r="C92" s="85"/>
      <c r="D92" s="85"/>
      <c r="E92" s="85"/>
      <c r="F92" s="85"/>
      <c r="G92" s="38"/>
      <c r="H92" s="38"/>
      <c r="I92" s="41"/>
      <c r="J92" s="41"/>
    </row>
    <row r="93" spans="2:10" ht="30" customHeight="1" x14ac:dyDescent="0.25">
      <c r="B93" s="305" t="s">
        <v>299</v>
      </c>
      <c r="C93" s="305"/>
      <c r="D93" s="305"/>
      <c r="E93" s="305"/>
      <c r="F93" s="305"/>
      <c r="G93" s="305"/>
      <c r="H93" s="305"/>
      <c r="I93" s="305"/>
      <c r="J93" s="305"/>
    </row>
    <row r="94" spans="2:10" ht="60" customHeight="1" x14ac:dyDescent="0.25">
      <c r="B94" s="281" t="s">
        <v>104</v>
      </c>
      <c r="C94" s="281"/>
      <c r="D94" s="281"/>
      <c r="E94" s="281"/>
      <c r="F94" s="281"/>
      <c r="G94" s="281"/>
      <c r="H94" s="281"/>
      <c r="I94" s="281"/>
      <c r="J94" s="281"/>
    </row>
    <row r="95" spans="2:10" ht="30" customHeight="1" x14ac:dyDescent="0.25">
      <c r="C95" s="298" t="s">
        <v>105</v>
      </c>
      <c r="D95" s="298"/>
      <c r="E95" s="298"/>
      <c r="F95" s="96"/>
      <c r="G95" s="305" t="s">
        <v>465</v>
      </c>
      <c r="H95" s="305"/>
      <c r="I95" s="305"/>
      <c r="J95" s="232"/>
    </row>
    <row r="96" spans="2:10" ht="50.1" customHeight="1" x14ac:dyDescent="0.25">
      <c r="C96" s="304" t="s">
        <v>467</v>
      </c>
      <c r="D96" s="304"/>
      <c r="E96" s="304"/>
      <c r="G96" s="300" t="s">
        <v>468</v>
      </c>
      <c r="H96" s="300"/>
      <c r="I96" s="300"/>
      <c r="J96" s="231"/>
    </row>
    <row r="97" spans="3:16" ht="30" customHeight="1" x14ac:dyDescent="0.25">
      <c r="D97" s="130" t="s">
        <v>106</v>
      </c>
      <c r="F97" s="100"/>
      <c r="G97" s="86"/>
      <c r="H97" s="231"/>
      <c r="I97" s="231"/>
      <c r="J97" s="231"/>
    </row>
    <row r="98" spans="3:16" ht="30" customHeight="1" x14ac:dyDescent="0.25">
      <c r="C98" s="131" t="s">
        <v>107</v>
      </c>
      <c r="D98" s="171"/>
      <c r="E98" s="128" t="s">
        <v>108</v>
      </c>
      <c r="G98" s="156" t="s">
        <v>269</v>
      </c>
      <c r="H98" s="153"/>
      <c r="I98" s="154" t="s">
        <v>113</v>
      </c>
    </row>
    <row r="99" spans="3:16" ht="30" customHeight="1" x14ac:dyDescent="0.25">
      <c r="C99" s="98"/>
      <c r="D99" s="130" t="s">
        <v>110</v>
      </c>
      <c r="E99" s="105"/>
    </row>
    <row r="100" spans="3:16" ht="30" customHeight="1" x14ac:dyDescent="0.25">
      <c r="C100" s="131" t="s">
        <v>111</v>
      </c>
      <c r="D100" s="171"/>
      <c r="E100" s="128" t="s">
        <v>112</v>
      </c>
      <c r="G100" s="86"/>
      <c r="H100" s="130" t="s">
        <v>117</v>
      </c>
      <c r="I100" s="86"/>
      <c r="O100" s="68"/>
      <c r="P100" s="82"/>
    </row>
    <row r="101" spans="3:16" ht="30" customHeight="1" x14ac:dyDescent="0.25">
      <c r="C101" s="131" t="s">
        <v>107</v>
      </c>
      <c r="D101" s="112">
        <f>D100*Referenser!C84</f>
        <v>0</v>
      </c>
      <c r="E101" s="128" t="s">
        <v>108</v>
      </c>
      <c r="G101" s="131" t="s">
        <v>480</v>
      </c>
      <c r="H101" s="153"/>
      <c r="I101" s="128" t="s">
        <v>108</v>
      </c>
      <c r="O101" s="68"/>
      <c r="P101" s="82"/>
    </row>
    <row r="102" spans="3:16" ht="30" customHeight="1" x14ac:dyDescent="0.25">
      <c r="C102" s="85"/>
      <c r="D102" s="85"/>
      <c r="E102" s="38"/>
      <c r="G102" s="134" t="s">
        <v>481</v>
      </c>
      <c r="H102" s="143"/>
      <c r="I102" s="128" t="s">
        <v>116</v>
      </c>
      <c r="O102" s="63"/>
      <c r="P102" s="70"/>
    </row>
    <row r="103" spans="3:16" ht="30" customHeight="1" x14ac:dyDescent="0.25">
      <c r="F103" s="104"/>
      <c r="G103" s="86"/>
      <c r="H103" s="130" t="s">
        <v>110</v>
      </c>
      <c r="I103" s="178"/>
      <c r="O103" s="63"/>
      <c r="P103" s="70"/>
    </row>
    <row r="104" spans="3:16" s="86" customFormat="1" ht="30" customHeight="1" x14ac:dyDescent="0.25">
      <c r="C104" s="298" t="s">
        <v>114</v>
      </c>
      <c r="D104" s="298"/>
      <c r="E104" s="298"/>
      <c r="G104" s="131" t="s">
        <v>326</v>
      </c>
      <c r="H104" s="171"/>
      <c r="I104" s="128" t="s">
        <v>275</v>
      </c>
      <c r="O104" s="64"/>
      <c r="P104" s="70"/>
    </row>
    <row r="105" spans="3:16" s="86" customFormat="1" ht="30" customHeight="1" x14ac:dyDescent="0.25">
      <c r="C105" s="301" t="s">
        <v>482</v>
      </c>
      <c r="D105" s="301"/>
      <c r="E105" s="301"/>
      <c r="G105" s="131" t="s">
        <v>480</v>
      </c>
      <c r="H105" s="112">
        <f>H104*Referenser!C91*(H98/100)</f>
        <v>0</v>
      </c>
      <c r="I105" s="128" t="s">
        <v>108</v>
      </c>
      <c r="O105" s="73"/>
      <c r="P105" s="70"/>
    </row>
    <row r="106" spans="3:16" s="86" customFormat="1" ht="30" customHeight="1" x14ac:dyDescent="0.25">
      <c r="C106" s="302"/>
      <c r="D106" s="302"/>
      <c r="E106" s="302"/>
      <c r="O106" s="73"/>
      <c r="P106" s="70"/>
    </row>
    <row r="107" spans="3:16" s="86" customFormat="1" ht="30" customHeight="1" x14ac:dyDescent="0.25">
      <c r="C107"/>
      <c r="D107" s="130" t="s">
        <v>106</v>
      </c>
      <c r="E107"/>
      <c r="F107"/>
      <c r="O107" s="73"/>
      <c r="P107" s="70"/>
    </row>
    <row r="108" spans="3:16" s="86" customFormat="1" ht="30" customHeight="1" x14ac:dyDescent="0.25">
      <c r="C108" s="131" t="s">
        <v>115</v>
      </c>
      <c r="D108" s="171"/>
      <c r="E108" s="128" t="s">
        <v>116</v>
      </c>
      <c r="F108"/>
      <c r="G108" s="298" t="s">
        <v>120</v>
      </c>
      <c r="H108" s="298"/>
      <c r="I108" s="298"/>
      <c r="J108" s="96"/>
      <c r="O108" s="73"/>
      <c r="P108" s="70"/>
    </row>
    <row r="109" spans="3:16" s="86" customFormat="1" ht="30" customHeight="1" x14ac:dyDescent="0.25">
      <c r="D109" s="130" t="s">
        <v>110</v>
      </c>
      <c r="F109"/>
      <c r="G109" s="303" t="s">
        <v>407</v>
      </c>
      <c r="H109" s="303"/>
      <c r="I109" s="303"/>
      <c r="J109" s="233"/>
      <c r="O109" s="73"/>
      <c r="P109" s="70"/>
    </row>
    <row r="110" spans="3:16" s="86" customFormat="1" ht="30" customHeight="1" x14ac:dyDescent="0.25">
      <c r="C110" s="131" t="s">
        <v>470</v>
      </c>
      <c r="D110" s="152"/>
      <c r="E110" s="179" t="s">
        <v>469</v>
      </c>
      <c r="F110"/>
      <c r="O110" s="73"/>
      <c r="P110" s="70"/>
    </row>
    <row r="111" spans="3:16" s="86" customFormat="1" ht="30" customHeight="1" x14ac:dyDescent="0.25">
      <c r="C111" s="131" t="s">
        <v>115</v>
      </c>
      <c r="D111" s="112">
        <f>D110*Referenser!C85</f>
        <v>0</v>
      </c>
      <c r="E111" s="128" t="s">
        <v>116</v>
      </c>
      <c r="G111" s="135" t="s">
        <v>123</v>
      </c>
      <c r="H111" s="143"/>
      <c r="I111" s="179" t="s">
        <v>346</v>
      </c>
      <c r="O111" s="73"/>
      <c r="P111" s="70"/>
    </row>
    <row r="112" spans="3:16" s="86" customFormat="1" ht="30" customHeight="1" x14ac:dyDescent="0.25">
      <c r="G112" s="131" t="s">
        <v>124</v>
      </c>
      <c r="H112" s="153"/>
      <c r="I112" s="128" t="s">
        <v>122</v>
      </c>
      <c r="O112" s="73"/>
      <c r="P112" s="70"/>
    </row>
    <row r="113" spans="3:16" s="86" customFormat="1" ht="30" customHeight="1" x14ac:dyDescent="0.25">
      <c r="C113" s="301" t="s">
        <v>471</v>
      </c>
      <c r="D113" s="301"/>
      <c r="E113" s="301"/>
      <c r="O113" s="73"/>
      <c r="P113" s="70"/>
    </row>
    <row r="114" spans="3:16" s="86" customFormat="1" ht="30" customHeight="1" x14ac:dyDescent="0.25">
      <c r="C114" s="302"/>
      <c r="D114" s="302"/>
      <c r="E114" s="302"/>
      <c r="G114"/>
      <c r="H114" s="138" t="s">
        <v>125</v>
      </c>
      <c r="I114"/>
      <c r="O114" s="73"/>
      <c r="P114" s="70"/>
    </row>
    <row r="115" spans="3:16" s="86" customFormat="1" ht="30" customHeight="1" x14ac:dyDescent="0.25">
      <c r="C115" s="131" t="s">
        <v>115</v>
      </c>
      <c r="D115" s="112">
        <f>H8*Referenser!C86</f>
        <v>0</v>
      </c>
      <c r="E115" s="128" t="s">
        <v>116</v>
      </c>
      <c r="G115"/>
      <c r="H115" s="130"/>
      <c r="I115"/>
      <c r="O115" s="73"/>
      <c r="P115" s="70"/>
    </row>
    <row r="116" spans="3:16" s="86" customFormat="1" ht="30" customHeight="1" x14ac:dyDescent="0.25">
      <c r="F116" s="105"/>
      <c r="G116" s="131" t="s">
        <v>126</v>
      </c>
      <c r="H116" s="87">
        <f>H111*Referenser!C92</f>
        <v>0</v>
      </c>
      <c r="I116" s="128" t="s">
        <v>108</v>
      </c>
      <c r="O116" s="73"/>
      <c r="P116" s="70"/>
    </row>
    <row r="117" spans="3:16" s="86" customFormat="1" ht="30" customHeight="1" x14ac:dyDescent="0.25">
      <c r="G117" s="131" t="s">
        <v>127</v>
      </c>
      <c r="H117" s="87">
        <f>H112*Referenser!C93</f>
        <v>0</v>
      </c>
      <c r="I117" s="128" t="s">
        <v>116</v>
      </c>
      <c r="O117" s="73"/>
      <c r="P117" s="70"/>
    </row>
    <row r="118" spans="3:16" s="86" customFormat="1" ht="30" customHeight="1" x14ac:dyDescent="0.25">
      <c r="C118" s="298" t="s">
        <v>118</v>
      </c>
      <c r="D118" s="298"/>
      <c r="E118" s="298"/>
      <c r="O118" s="73"/>
      <c r="P118" s="70"/>
    </row>
    <row r="119" spans="3:16" s="86" customFormat="1" ht="39.950000000000003" customHeight="1" x14ac:dyDescent="0.25">
      <c r="C119" s="299" t="s">
        <v>327</v>
      </c>
      <c r="D119" s="299"/>
      <c r="E119" s="299"/>
      <c r="O119" s="73"/>
      <c r="P119" s="70"/>
    </row>
    <row r="120" spans="3:16" s="86" customFormat="1" ht="30" customHeight="1" x14ac:dyDescent="0.25">
      <c r="C120" s="132"/>
      <c r="D120" s="130" t="s">
        <v>106</v>
      </c>
      <c r="E120" s="132"/>
      <c r="O120" s="73"/>
      <c r="P120" s="70"/>
    </row>
    <row r="121" spans="3:16" s="86" customFormat="1" ht="30" customHeight="1" x14ac:dyDescent="0.25">
      <c r="C121" s="131" t="s">
        <v>119</v>
      </c>
      <c r="D121" s="171"/>
      <c r="E121" s="128" t="s">
        <v>116</v>
      </c>
      <c r="G121"/>
      <c r="O121" s="73"/>
      <c r="P121" s="70"/>
    </row>
    <row r="122" spans="3:16" s="86" customFormat="1" ht="30" customHeight="1" x14ac:dyDescent="0.25">
      <c r="E122" s="178"/>
      <c r="G122"/>
      <c r="O122" s="73"/>
      <c r="P122" s="70"/>
    </row>
    <row r="123" spans="3:16" s="86" customFormat="1" ht="30" customHeight="1" x14ac:dyDescent="0.25">
      <c r="D123" s="138" t="s">
        <v>280</v>
      </c>
      <c r="E123" s="178"/>
      <c r="G123"/>
      <c r="O123" s="73"/>
      <c r="P123" s="70"/>
    </row>
    <row r="124" spans="3:16" s="86" customFormat="1" ht="30" customHeight="1" x14ac:dyDescent="0.25">
      <c r="C124" s="99"/>
      <c r="D124" s="130" t="s">
        <v>110</v>
      </c>
      <c r="E124" s="178"/>
      <c r="F124"/>
      <c r="G124"/>
      <c r="O124" s="73"/>
      <c r="P124" s="70"/>
    </row>
    <row r="125" spans="3:16" s="86" customFormat="1" ht="30" customHeight="1" x14ac:dyDescent="0.25">
      <c r="C125" s="131" t="s">
        <v>121</v>
      </c>
      <c r="D125" s="171"/>
      <c r="E125" s="128" t="s">
        <v>122</v>
      </c>
      <c r="F125"/>
      <c r="G125"/>
      <c r="O125" s="73"/>
      <c r="P125" s="70"/>
    </row>
    <row r="126" spans="3:16" s="86" customFormat="1" ht="30" customHeight="1" x14ac:dyDescent="0.25">
      <c r="C126" s="131" t="s">
        <v>341</v>
      </c>
      <c r="D126" s="87">
        <f>D125*Referenser!C87</f>
        <v>0</v>
      </c>
      <c r="E126" s="128" t="s">
        <v>116</v>
      </c>
      <c r="F126"/>
      <c r="G126"/>
      <c r="O126" s="73"/>
      <c r="P126" s="70"/>
    </row>
    <row r="127" spans="3:16" s="86" customFormat="1" ht="30" customHeight="1" x14ac:dyDescent="0.25">
      <c r="E127" s="178"/>
      <c r="F127"/>
      <c r="G127"/>
      <c r="O127" s="73"/>
      <c r="P127" s="70"/>
    </row>
    <row r="128" spans="3:16" s="86" customFormat="1" ht="30" customHeight="1" x14ac:dyDescent="0.25">
      <c r="D128" s="138" t="s">
        <v>328</v>
      </c>
      <c r="E128" s="178"/>
      <c r="F128"/>
      <c r="G128"/>
      <c r="O128" s="73"/>
      <c r="P128" s="70"/>
    </row>
    <row r="129" spans="3:16" s="86" customFormat="1" ht="30" customHeight="1" x14ac:dyDescent="0.25">
      <c r="C129" s="99"/>
      <c r="D129" s="130" t="s">
        <v>110</v>
      </c>
      <c r="E129" s="178"/>
      <c r="F129"/>
      <c r="G129"/>
      <c r="O129" s="73"/>
      <c r="P129" s="70"/>
    </row>
    <row r="130" spans="3:16" s="86" customFormat="1" ht="30" customHeight="1" x14ac:dyDescent="0.25">
      <c r="C130" s="131" t="s">
        <v>121</v>
      </c>
      <c r="D130" s="171"/>
      <c r="E130" s="128" t="s">
        <v>122</v>
      </c>
      <c r="F130"/>
      <c r="G130"/>
      <c r="O130" s="73"/>
      <c r="P130" s="70"/>
    </row>
    <row r="131" spans="3:16" s="86" customFormat="1" ht="30" customHeight="1" x14ac:dyDescent="0.25">
      <c r="C131" s="131" t="s">
        <v>342</v>
      </c>
      <c r="D131" s="87">
        <f>D130*Referenser!C88</f>
        <v>0</v>
      </c>
      <c r="E131" s="128" t="s">
        <v>116</v>
      </c>
      <c r="F131"/>
      <c r="G131"/>
      <c r="O131" s="73"/>
      <c r="P131" s="70"/>
    </row>
    <row r="132" spans="3:16" s="86" customFormat="1" ht="30" customHeight="1" x14ac:dyDescent="0.25">
      <c r="C132" s="131"/>
      <c r="D132" s="92"/>
      <c r="E132" s="128"/>
      <c r="F132"/>
      <c r="G132"/>
      <c r="O132" s="73"/>
      <c r="P132" s="70"/>
    </row>
    <row r="133" spans="3:16" s="86" customFormat="1" ht="30" customHeight="1" x14ac:dyDescent="0.25">
      <c r="C133" s="131"/>
      <c r="D133" s="92"/>
      <c r="E133" s="128"/>
      <c r="G133"/>
      <c r="O133" s="73"/>
      <c r="P133" s="70"/>
    </row>
    <row r="134" spans="3:16" s="86" customFormat="1" ht="30" hidden="1" customHeight="1" x14ac:dyDescent="0.25">
      <c r="G134"/>
    </row>
    <row r="135" spans="3:16" s="86" customFormat="1" ht="30" hidden="1" customHeight="1" x14ac:dyDescent="0.25">
      <c r="G135"/>
    </row>
    <row r="136" spans="3:16" s="86" customFormat="1" ht="30" hidden="1" customHeight="1" x14ac:dyDescent="0.25">
      <c r="G136"/>
    </row>
    <row r="137" spans="3:16" s="86" customFormat="1" ht="30" hidden="1" customHeight="1" x14ac:dyDescent="0.25">
      <c r="G137"/>
    </row>
    <row r="138" spans="3:16" s="86" customFormat="1" ht="30" hidden="1" customHeight="1" x14ac:dyDescent="0.25">
      <c r="E138" s="28"/>
      <c r="G138"/>
    </row>
    <row r="139" spans="3:16" ht="30" hidden="1" customHeight="1" x14ac:dyDescent="0.25"/>
    <row r="140" spans="3:16" ht="30" hidden="1" customHeight="1" x14ac:dyDescent="0.25"/>
    <row r="141" spans="3:16" ht="30" hidden="1" customHeight="1" x14ac:dyDescent="0.25"/>
  </sheetData>
  <sheetProtection sheet="1" objects="1" scenarios="1"/>
  <mergeCells count="48">
    <mergeCell ref="B54:J54"/>
    <mergeCell ref="B55:J55"/>
    <mergeCell ref="B40:J40"/>
    <mergeCell ref="B41:J41"/>
    <mergeCell ref="B3:J3"/>
    <mergeCell ref="D37:G37"/>
    <mergeCell ref="G6:I6"/>
    <mergeCell ref="D38:G38"/>
    <mergeCell ref="B10:J10"/>
    <mergeCell ref="C6:E6"/>
    <mergeCell ref="B11:J11"/>
    <mergeCell ref="B4:J4"/>
    <mergeCell ref="D12:G12"/>
    <mergeCell ref="D17:G17"/>
    <mergeCell ref="D13:G13"/>
    <mergeCell ref="D18:G18"/>
    <mergeCell ref="B78:J78"/>
    <mergeCell ref="B79:J79"/>
    <mergeCell ref="G80:I80"/>
    <mergeCell ref="C74:J74"/>
    <mergeCell ref="C57:D57"/>
    <mergeCell ref="C60:D61"/>
    <mergeCell ref="C62:D62"/>
    <mergeCell ref="C63:D67"/>
    <mergeCell ref="C70:D71"/>
    <mergeCell ref="C68:D69"/>
    <mergeCell ref="C58:D59"/>
    <mergeCell ref="C75:J75"/>
    <mergeCell ref="C80:E80"/>
    <mergeCell ref="C72:D72"/>
    <mergeCell ref="C73:D73"/>
    <mergeCell ref="C76:J76"/>
    <mergeCell ref="D28:G28"/>
    <mergeCell ref="C118:E118"/>
    <mergeCell ref="C119:E119"/>
    <mergeCell ref="C81:E81"/>
    <mergeCell ref="C95:E95"/>
    <mergeCell ref="G108:I108"/>
    <mergeCell ref="C113:E114"/>
    <mergeCell ref="C104:E104"/>
    <mergeCell ref="G109:I109"/>
    <mergeCell ref="C96:E96"/>
    <mergeCell ref="G81:I81"/>
    <mergeCell ref="B93:J93"/>
    <mergeCell ref="B94:J94"/>
    <mergeCell ref="G95:I95"/>
    <mergeCell ref="G96:I96"/>
    <mergeCell ref="C105:E106"/>
  </mergeCells>
  <dataValidations count="1">
    <dataValidation errorStyle="warning" allowBlank="1" showInputMessage="1" showErrorMessage="1" errorTitle="Test" sqref="F20:F25 F15" xr:uid="{CB7D4E92-F467-4FD1-A053-7D70D8DAD9AA}"/>
  </dataValidations>
  <pageMargins left="0.7" right="0.7" top="0.75" bottom="0.75" header="0.3" footer="0.3"/>
  <pageSetup paperSize="9" orientation="portrait" r:id="rId1"/>
  <ignoredErrors>
    <ignoredError sqref="H20"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647700-E50C-434D-BFAA-E2990859AFA8}">
          <x14:formula1>
            <xm:f>'Information till rullistor'!$D$3:$D$4</xm:f>
          </x14:formula1>
          <xm:sqref>H58:H73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C937E-57AE-4CFD-ABDE-D667FE4A0FEF}">
  <sheetPr codeName="Sheet5"/>
  <dimension ref="A1:N142"/>
  <sheetViews>
    <sheetView showGridLines="0" topLeftCell="A57" zoomScale="90" zoomScaleNormal="90" workbookViewId="0">
      <selection activeCell="B103" sqref="B103"/>
    </sheetView>
  </sheetViews>
  <sheetFormatPr defaultColWidth="0" defaultRowHeight="0" customHeight="1" zeroHeight="1" x14ac:dyDescent="0.25"/>
  <cols>
    <col min="1" max="1" width="8.7109375" customWidth="1"/>
    <col min="2" max="9" width="25.7109375" customWidth="1"/>
    <col min="10" max="10" width="8.7109375" customWidth="1"/>
    <col min="11" max="11" width="9.140625" hidden="1" customWidth="1"/>
    <col min="12" max="14" width="12.42578125" hidden="1" customWidth="1"/>
    <col min="15" max="16384" width="12.42578125" hidden="1"/>
  </cols>
  <sheetData>
    <row r="1" spans="1:9" ht="15" hidden="1" x14ac:dyDescent="0.25"/>
    <row r="2" spans="1:9" ht="33" customHeight="1" x14ac:dyDescent="0.25">
      <c r="B2" s="24"/>
    </row>
    <row r="3" spans="1:9" ht="33" customHeight="1" x14ac:dyDescent="0.25">
      <c r="B3" s="276" t="s">
        <v>63</v>
      </c>
      <c r="C3" s="276"/>
      <c r="D3" s="276"/>
      <c r="E3" s="276"/>
      <c r="F3" s="276"/>
      <c r="G3" s="276"/>
      <c r="H3" s="276"/>
      <c r="I3" s="276"/>
    </row>
    <row r="4" spans="1:9" ht="33" customHeight="1" x14ac:dyDescent="0.25">
      <c r="B4" s="330" t="s">
        <v>64</v>
      </c>
      <c r="C4" s="330"/>
      <c r="D4" s="278"/>
      <c r="E4" s="278"/>
      <c r="F4" s="278"/>
      <c r="G4" s="278"/>
      <c r="H4" s="278"/>
      <c r="I4" s="278"/>
    </row>
    <row r="5" spans="1:9" ht="33" customHeight="1" x14ac:dyDescent="0.25">
      <c r="B5" s="66"/>
      <c r="C5" s="66"/>
      <c r="D5" s="66"/>
      <c r="E5" s="66"/>
      <c r="F5" s="66"/>
      <c r="G5" s="66"/>
      <c r="H5" s="66"/>
      <c r="I5" s="66"/>
    </row>
    <row r="6" spans="1:9" ht="33" customHeight="1" x14ac:dyDescent="0.25">
      <c r="B6" s="282" t="s">
        <v>415</v>
      </c>
      <c r="C6" s="282"/>
      <c r="D6" s="282"/>
      <c r="E6" s="282"/>
      <c r="F6" s="282"/>
      <c r="G6" s="282"/>
      <c r="H6" s="282"/>
      <c r="I6" s="282"/>
    </row>
    <row r="7" spans="1:9" ht="60" customHeight="1" x14ac:dyDescent="0.25">
      <c r="A7" s="23"/>
      <c r="B7" s="281" t="s">
        <v>414</v>
      </c>
      <c r="C7" s="281"/>
      <c r="D7" s="281"/>
      <c r="E7" s="281"/>
      <c r="F7" s="281"/>
      <c r="G7" s="281"/>
      <c r="H7" s="281"/>
      <c r="I7" s="281"/>
    </row>
    <row r="8" spans="1:9" ht="20.100000000000001" customHeight="1" x14ac:dyDescent="0.25">
      <c r="B8" s="64"/>
      <c r="C8" s="64"/>
      <c r="D8" s="64"/>
      <c r="E8" s="53"/>
      <c r="F8" s="53"/>
      <c r="G8" s="64"/>
      <c r="H8" s="64"/>
      <c r="I8" s="64"/>
    </row>
    <row r="9" spans="1:9" ht="60" customHeight="1" x14ac:dyDescent="0.25">
      <c r="C9" s="54" t="s">
        <v>128</v>
      </c>
      <c r="D9" s="55" t="s">
        <v>370</v>
      </c>
      <c r="E9" s="55" t="s">
        <v>129</v>
      </c>
      <c r="F9" s="55" t="s">
        <v>87</v>
      </c>
      <c r="G9" s="55" t="s">
        <v>130</v>
      </c>
      <c r="H9" s="55" t="s">
        <v>131</v>
      </c>
      <c r="I9" s="55" t="s">
        <v>132</v>
      </c>
    </row>
    <row r="10" spans="1:9" ht="30" customHeight="1" x14ac:dyDescent="0.25">
      <c r="C10" s="97" t="s">
        <v>133</v>
      </c>
      <c r="D10" s="143"/>
      <c r="E10" s="143">
        <v>300</v>
      </c>
      <c r="F10" s="146"/>
      <c r="G10" s="87">
        <v>800</v>
      </c>
      <c r="H10" s="87">
        <v>1400</v>
      </c>
      <c r="I10" s="142">
        <f>IF(F10="Fossilfritt", 0.01, 0.07)</f>
        <v>7.0000000000000007E-2</v>
      </c>
    </row>
    <row r="11" spans="1:9" ht="30" customHeight="1" x14ac:dyDescent="0.25">
      <c r="C11" s="97" t="s">
        <v>134</v>
      </c>
      <c r="D11" s="143"/>
      <c r="E11" s="143">
        <v>300</v>
      </c>
      <c r="F11" s="146"/>
      <c r="G11" s="87">
        <v>760</v>
      </c>
      <c r="H11" s="87">
        <v>0</v>
      </c>
      <c r="I11" s="142">
        <f t="shared" ref="I11:I17" si="0">IF(F11="Fossilfritt", 0.01, 0.07)</f>
        <v>7.0000000000000007E-2</v>
      </c>
    </row>
    <row r="12" spans="1:9" ht="30" customHeight="1" x14ac:dyDescent="0.25">
      <c r="C12" s="97" t="s">
        <v>135</v>
      </c>
      <c r="D12" s="143"/>
      <c r="E12" s="143">
        <v>300</v>
      </c>
      <c r="F12" s="146"/>
      <c r="G12" s="87">
        <v>2000</v>
      </c>
      <c r="H12" s="140">
        <v>1900</v>
      </c>
      <c r="I12" s="142">
        <f t="shared" si="0"/>
        <v>7.0000000000000007E-2</v>
      </c>
    </row>
    <row r="13" spans="1:9" ht="30" customHeight="1" x14ac:dyDescent="0.25">
      <c r="C13" s="97" t="s">
        <v>136</v>
      </c>
      <c r="D13" s="143"/>
      <c r="E13" s="143">
        <v>300</v>
      </c>
      <c r="F13" s="146"/>
      <c r="G13" s="87">
        <v>1100</v>
      </c>
      <c r="H13" s="140">
        <v>0</v>
      </c>
      <c r="I13" s="142">
        <f t="shared" si="0"/>
        <v>7.0000000000000007E-2</v>
      </c>
    </row>
    <row r="14" spans="1:9" ht="30" customHeight="1" x14ac:dyDescent="0.25">
      <c r="C14" s="97" t="s">
        <v>137</v>
      </c>
      <c r="D14" s="143"/>
      <c r="E14" s="143">
        <v>300</v>
      </c>
      <c r="F14" s="146"/>
      <c r="G14" s="87">
        <v>2000</v>
      </c>
      <c r="H14" s="140">
        <v>2200</v>
      </c>
      <c r="I14" s="142">
        <f t="shared" si="0"/>
        <v>7.0000000000000007E-2</v>
      </c>
    </row>
    <row r="15" spans="1:9" ht="30" customHeight="1" x14ac:dyDescent="0.25">
      <c r="C15" s="97" t="s">
        <v>409</v>
      </c>
      <c r="D15" s="143"/>
      <c r="E15" s="143">
        <v>300</v>
      </c>
      <c r="F15" s="146"/>
      <c r="G15" s="87">
        <v>342</v>
      </c>
      <c r="H15" s="140">
        <v>0</v>
      </c>
      <c r="I15" s="142">
        <f t="shared" si="0"/>
        <v>7.0000000000000007E-2</v>
      </c>
    </row>
    <row r="16" spans="1:9" ht="30" customHeight="1" x14ac:dyDescent="0.25">
      <c r="C16" s="148" t="s">
        <v>72</v>
      </c>
      <c r="D16" s="153"/>
      <c r="E16" s="143">
        <v>300</v>
      </c>
      <c r="F16" s="146"/>
      <c r="G16" s="143"/>
      <c r="H16" s="143"/>
      <c r="I16" s="142">
        <f t="shared" si="0"/>
        <v>7.0000000000000007E-2</v>
      </c>
    </row>
    <row r="17" spans="2:13" ht="30" customHeight="1" x14ac:dyDescent="0.25">
      <c r="C17" s="148" t="s">
        <v>72</v>
      </c>
      <c r="D17" s="153"/>
      <c r="E17" s="143">
        <v>300</v>
      </c>
      <c r="F17" s="146"/>
      <c r="G17" s="143"/>
      <c r="H17" s="143"/>
      <c r="I17" s="142">
        <f t="shared" si="0"/>
        <v>7.0000000000000007E-2</v>
      </c>
    </row>
    <row r="18" spans="2:13" ht="30" customHeight="1" x14ac:dyDescent="0.25">
      <c r="D18" s="66"/>
      <c r="E18" s="66"/>
      <c r="F18" s="25"/>
      <c r="G18" s="63"/>
      <c r="H18" s="28"/>
      <c r="I18" s="28"/>
      <c r="K18" s="63"/>
      <c r="L18" s="70"/>
      <c r="M18" s="70"/>
    </row>
    <row r="19" spans="2:13" ht="30" customHeight="1" x14ac:dyDescent="0.25">
      <c r="B19" s="282" t="s">
        <v>416</v>
      </c>
      <c r="C19" s="282"/>
      <c r="D19" s="282"/>
      <c r="E19" s="282"/>
      <c r="F19" s="282"/>
      <c r="G19" s="282"/>
      <c r="H19" s="282"/>
      <c r="I19" s="282"/>
      <c r="K19" s="63"/>
      <c r="L19" s="70"/>
      <c r="M19" s="70"/>
    </row>
    <row r="20" spans="2:13" ht="50.1" customHeight="1" x14ac:dyDescent="0.25">
      <c r="B20" s="281" t="s">
        <v>417</v>
      </c>
      <c r="C20" s="281"/>
      <c r="D20" s="281"/>
      <c r="E20" s="281"/>
      <c r="F20" s="281"/>
      <c r="G20" s="281"/>
      <c r="H20" s="281"/>
      <c r="I20" s="281"/>
      <c r="K20" s="63"/>
      <c r="L20" s="70"/>
      <c r="M20" s="70"/>
    </row>
    <row r="21" spans="2:13" ht="20.100000000000001" customHeight="1" x14ac:dyDescent="0.25">
      <c r="B21" s="64"/>
      <c r="C21" s="65"/>
      <c r="D21" s="65"/>
      <c r="E21" s="65"/>
      <c r="F21" s="65"/>
      <c r="G21" s="65"/>
      <c r="H21" s="65"/>
      <c r="I21" s="64"/>
      <c r="K21" s="63"/>
      <c r="L21" s="70"/>
      <c r="M21" s="70"/>
    </row>
    <row r="22" spans="2:13" ht="60" customHeight="1" x14ac:dyDescent="0.25">
      <c r="C22" s="54" t="s">
        <v>336</v>
      </c>
      <c r="D22" s="55" t="s">
        <v>370</v>
      </c>
      <c r="E22" s="55" t="s">
        <v>129</v>
      </c>
      <c r="F22" s="55" t="s">
        <v>87</v>
      </c>
      <c r="G22" s="55" t="s">
        <v>138</v>
      </c>
      <c r="H22" s="55" t="s">
        <v>55</v>
      </c>
      <c r="I22" s="68"/>
    </row>
    <row r="23" spans="2:13" ht="30" customHeight="1" x14ac:dyDescent="0.25">
      <c r="C23" s="129" t="s">
        <v>423</v>
      </c>
      <c r="D23" s="143"/>
      <c r="E23" s="143">
        <v>300</v>
      </c>
      <c r="F23" s="146"/>
      <c r="G23" s="87">
        <v>136</v>
      </c>
      <c r="H23" s="142">
        <f t="shared" ref="H23:H42" si="1">IF(F23="Fossilfritt", 0.01, 0.07)</f>
        <v>7.0000000000000007E-2</v>
      </c>
      <c r="I23" s="28"/>
    </row>
    <row r="24" spans="2:13" ht="30" customHeight="1" x14ac:dyDescent="0.25">
      <c r="C24" s="129" t="s">
        <v>424</v>
      </c>
      <c r="D24" s="143"/>
      <c r="E24" s="143">
        <v>300</v>
      </c>
      <c r="F24" s="146"/>
      <c r="G24" s="87">
        <v>140</v>
      </c>
      <c r="H24" s="142">
        <f t="shared" si="1"/>
        <v>7.0000000000000007E-2</v>
      </c>
      <c r="I24" s="28"/>
    </row>
    <row r="25" spans="2:13" ht="30" customHeight="1" x14ac:dyDescent="0.25">
      <c r="C25" s="129" t="s">
        <v>437</v>
      </c>
      <c r="D25" s="143"/>
      <c r="E25" s="143">
        <v>300</v>
      </c>
      <c r="F25" s="146"/>
      <c r="G25" s="87">
        <v>132</v>
      </c>
      <c r="H25" s="142">
        <f t="shared" si="1"/>
        <v>7.0000000000000007E-2</v>
      </c>
      <c r="I25" s="28"/>
    </row>
    <row r="26" spans="2:13" ht="30" customHeight="1" x14ac:dyDescent="0.25">
      <c r="C26" s="226" t="s">
        <v>430</v>
      </c>
      <c r="D26" s="143"/>
      <c r="E26" s="143">
        <v>300</v>
      </c>
      <c r="F26" s="146"/>
      <c r="G26" s="87">
        <v>108</v>
      </c>
      <c r="H26" s="142">
        <f t="shared" si="1"/>
        <v>7.0000000000000007E-2</v>
      </c>
      <c r="I26" s="28"/>
    </row>
    <row r="27" spans="2:13" ht="30" customHeight="1" x14ac:dyDescent="0.25">
      <c r="C27" s="226" t="s">
        <v>431</v>
      </c>
      <c r="D27" s="143"/>
      <c r="E27" s="143">
        <v>300</v>
      </c>
      <c r="F27" s="146"/>
      <c r="G27" s="87">
        <v>86</v>
      </c>
      <c r="H27" s="142">
        <f t="shared" si="1"/>
        <v>7.0000000000000007E-2</v>
      </c>
      <c r="I27" s="28"/>
    </row>
    <row r="28" spans="2:13" ht="30" customHeight="1" x14ac:dyDescent="0.25">
      <c r="C28" s="226" t="s">
        <v>432</v>
      </c>
      <c r="D28" s="143"/>
      <c r="E28" s="143">
        <v>300</v>
      </c>
      <c r="F28" s="146"/>
      <c r="G28" s="87">
        <v>246</v>
      </c>
      <c r="H28" s="142">
        <f t="shared" si="1"/>
        <v>7.0000000000000007E-2</v>
      </c>
      <c r="I28" s="28"/>
    </row>
    <row r="29" spans="2:13" ht="30" customHeight="1" x14ac:dyDescent="0.25">
      <c r="C29" s="129" t="s">
        <v>422</v>
      </c>
      <c r="D29" s="143"/>
      <c r="E29" s="143">
        <v>300</v>
      </c>
      <c r="F29" s="146"/>
      <c r="G29" s="87">
        <v>294</v>
      </c>
      <c r="H29" s="142">
        <f t="shared" si="1"/>
        <v>7.0000000000000007E-2</v>
      </c>
      <c r="I29" s="28"/>
    </row>
    <row r="30" spans="2:13" ht="30" customHeight="1" x14ac:dyDescent="0.25">
      <c r="C30" s="102" t="s">
        <v>425</v>
      </c>
      <c r="D30" s="143"/>
      <c r="E30" s="143">
        <v>300</v>
      </c>
      <c r="F30" s="146"/>
      <c r="G30" s="87">
        <v>156</v>
      </c>
      <c r="H30" s="142">
        <f t="shared" si="1"/>
        <v>7.0000000000000007E-2</v>
      </c>
      <c r="I30" s="28"/>
    </row>
    <row r="31" spans="2:13" ht="30" customHeight="1" x14ac:dyDescent="0.25">
      <c r="C31" s="102" t="s">
        <v>426</v>
      </c>
      <c r="D31" s="143"/>
      <c r="E31" s="143">
        <v>300</v>
      </c>
      <c r="F31" s="146"/>
      <c r="G31" s="87">
        <v>202</v>
      </c>
      <c r="H31" s="142">
        <f t="shared" si="1"/>
        <v>7.0000000000000007E-2</v>
      </c>
      <c r="I31" s="28"/>
    </row>
    <row r="32" spans="2:13" ht="30" customHeight="1" x14ac:dyDescent="0.25">
      <c r="C32" s="102" t="s">
        <v>427</v>
      </c>
      <c r="D32" s="143"/>
      <c r="E32" s="143">
        <v>300</v>
      </c>
      <c r="F32" s="146"/>
      <c r="G32" s="87">
        <v>216</v>
      </c>
      <c r="H32" s="142">
        <f t="shared" si="1"/>
        <v>7.0000000000000007E-2</v>
      </c>
      <c r="I32" s="28"/>
    </row>
    <row r="33" spans="2:13" ht="30" customHeight="1" x14ac:dyDescent="0.25">
      <c r="C33" s="102" t="s">
        <v>428</v>
      </c>
      <c r="D33" s="143"/>
      <c r="E33" s="143">
        <v>300</v>
      </c>
      <c r="F33" s="146"/>
      <c r="G33" s="87">
        <v>259</v>
      </c>
      <c r="H33" s="142">
        <f t="shared" si="1"/>
        <v>7.0000000000000007E-2</v>
      </c>
      <c r="I33" s="28"/>
    </row>
    <row r="34" spans="2:13" ht="30" customHeight="1" x14ac:dyDescent="0.25">
      <c r="C34" s="102" t="s">
        <v>429</v>
      </c>
      <c r="D34" s="143"/>
      <c r="E34" s="143">
        <v>300</v>
      </c>
      <c r="F34" s="146"/>
      <c r="G34" s="87">
        <v>277</v>
      </c>
      <c r="H34" s="142">
        <f t="shared" si="1"/>
        <v>7.0000000000000007E-2</v>
      </c>
      <c r="I34" s="28"/>
    </row>
    <row r="35" spans="2:13" ht="30" customHeight="1" x14ac:dyDescent="0.25">
      <c r="C35" s="102" t="s">
        <v>433</v>
      </c>
      <c r="D35" s="143"/>
      <c r="E35" s="143">
        <v>300</v>
      </c>
      <c r="F35" s="146"/>
      <c r="G35" s="87">
        <v>209</v>
      </c>
      <c r="H35" s="142">
        <f t="shared" si="1"/>
        <v>7.0000000000000007E-2</v>
      </c>
      <c r="I35" s="28"/>
    </row>
    <row r="36" spans="2:13" ht="30" customHeight="1" x14ac:dyDescent="0.25">
      <c r="C36" s="102" t="s">
        <v>139</v>
      </c>
      <c r="D36" s="143"/>
      <c r="E36" s="143">
        <v>300</v>
      </c>
      <c r="F36" s="146"/>
      <c r="G36" s="87">
        <v>215</v>
      </c>
      <c r="H36" s="142">
        <f t="shared" si="1"/>
        <v>7.0000000000000007E-2</v>
      </c>
      <c r="I36" s="28"/>
    </row>
    <row r="37" spans="2:13" ht="30" customHeight="1" x14ac:dyDescent="0.25">
      <c r="C37" s="102" t="s">
        <v>140</v>
      </c>
      <c r="D37" s="143"/>
      <c r="E37" s="143">
        <v>300</v>
      </c>
      <c r="F37" s="146"/>
      <c r="G37" s="87">
        <v>61</v>
      </c>
      <c r="H37" s="142">
        <f t="shared" si="1"/>
        <v>7.0000000000000007E-2</v>
      </c>
      <c r="I37" s="28"/>
    </row>
    <row r="38" spans="2:13" ht="30" customHeight="1" x14ac:dyDescent="0.25">
      <c r="C38" s="102" t="s">
        <v>434</v>
      </c>
      <c r="D38" s="143"/>
      <c r="E38" s="143">
        <v>300</v>
      </c>
      <c r="F38" s="146"/>
      <c r="G38" s="87">
        <v>215</v>
      </c>
      <c r="H38" s="142">
        <f t="shared" si="1"/>
        <v>7.0000000000000007E-2</v>
      </c>
      <c r="I38" s="28"/>
    </row>
    <row r="39" spans="2:13" ht="30" customHeight="1" x14ac:dyDescent="0.25">
      <c r="C39" s="102" t="s">
        <v>435</v>
      </c>
      <c r="D39" s="143"/>
      <c r="E39" s="143">
        <v>300</v>
      </c>
      <c r="F39" s="146"/>
      <c r="G39" s="87">
        <v>60</v>
      </c>
      <c r="H39" s="142">
        <f t="shared" si="1"/>
        <v>7.0000000000000007E-2</v>
      </c>
      <c r="I39" s="28"/>
    </row>
    <row r="40" spans="2:13" ht="30" customHeight="1" x14ac:dyDescent="0.25">
      <c r="C40" s="102" t="s">
        <v>436</v>
      </c>
      <c r="D40" s="143"/>
      <c r="E40" s="143">
        <v>300</v>
      </c>
      <c r="F40" s="146"/>
      <c r="G40" s="87">
        <v>267</v>
      </c>
      <c r="H40" s="142">
        <f t="shared" si="1"/>
        <v>7.0000000000000007E-2</v>
      </c>
      <c r="I40" s="28"/>
    </row>
    <row r="41" spans="2:13" ht="30" customHeight="1" x14ac:dyDescent="0.25">
      <c r="C41" s="148" t="s">
        <v>72</v>
      </c>
      <c r="D41" s="147"/>
      <c r="E41" s="143">
        <v>300</v>
      </c>
      <c r="F41" s="146"/>
      <c r="G41" s="143"/>
      <c r="H41" s="142">
        <f t="shared" si="1"/>
        <v>7.0000000000000007E-2</v>
      </c>
      <c r="I41" s="28"/>
    </row>
    <row r="42" spans="2:13" ht="30" customHeight="1" x14ac:dyDescent="0.25">
      <c r="C42" s="148" t="s">
        <v>72</v>
      </c>
      <c r="D42" s="153"/>
      <c r="E42" s="143">
        <v>300</v>
      </c>
      <c r="F42" s="146"/>
      <c r="G42" s="143"/>
      <c r="H42" s="142">
        <f t="shared" si="1"/>
        <v>7.0000000000000007E-2</v>
      </c>
      <c r="I42" s="28"/>
    </row>
    <row r="43" spans="2:13" ht="30" customHeight="1" x14ac:dyDescent="0.25">
      <c r="E43" s="66"/>
      <c r="F43" s="25"/>
      <c r="G43" s="63"/>
      <c r="H43" s="28"/>
      <c r="I43" s="28"/>
      <c r="K43" s="63"/>
      <c r="L43" s="70"/>
      <c r="M43" s="70"/>
    </row>
    <row r="44" spans="2:13" ht="30" customHeight="1" x14ac:dyDescent="0.25">
      <c r="B44" s="282" t="s">
        <v>418</v>
      </c>
      <c r="C44" s="282"/>
      <c r="D44" s="282"/>
      <c r="E44" s="282"/>
      <c r="F44" s="282"/>
      <c r="G44" s="282"/>
      <c r="H44" s="282"/>
      <c r="I44" s="282"/>
      <c r="K44" s="63"/>
      <c r="L44" s="70"/>
      <c r="M44" s="70"/>
    </row>
    <row r="45" spans="2:13" ht="50.1" customHeight="1" x14ac:dyDescent="0.25">
      <c r="B45" s="281" t="s">
        <v>419</v>
      </c>
      <c r="C45" s="281"/>
      <c r="D45" s="281"/>
      <c r="E45" s="281"/>
      <c r="F45" s="281"/>
      <c r="G45" s="281"/>
      <c r="H45" s="281"/>
      <c r="I45" s="281"/>
      <c r="K45" s="63"/>
      <c r="L45" s="70"/>
      <c r="M45" s="70"/>
    </row>
    <row r="46" spans="2:13" ht="20.100000000000001" customHeight="1" x14ac:dyDescent="0.25">
      <c r="B46" s="64"/>
      <c r="C46" s="65"/>
      <c r="D46" s="65"/>
      <c r="E46" s="65"/>
      <c r="F46" s="65"/>
      <c r="G46" s="65"/>
      <c r="H46" s="65"/>
      <c r="I46" s="64"/>
      <c r="K46" s="63"/>
      <c r="L46" s="70"/>
      <c r="M46" s="70"/>
    </row>
    <row r="47" spans="2:13" ht="30" customHeight="1" x14ac:dyDescent="0.25">
      <c r="C47" s="54" t="s">
        <v>141</v>
      </c>
      <c r="D47" s="55" t="s">
        <v>370</v>
      </c>
      <c r="E47" s="55" t="s">
        <v>129</v>
      </c>
      <c r="F47" s="55" t="s">
        <v>87</v>
      </c>
      <c r="G47" s="55" t="s">
        <v>138</v>
      </c>
      <c r="H47" s="55" t="s">
        <v>55</v>
      </c>
      <c r="I47" s="68"/>
    </row>
    <row r="48" spans="2:13" ht="30" customHeight="1" x14ac:dyDescent="0.25">
      <c r="C48" s="133" t="s">
        <v>389</v>
      </c>
      <c r="D48" s="143"/>
      <c r="E48" s="143">
        <v>300</v>
      </c>
      <c r="F48" s="146"/>
      <c r="G48" s="87">
        <v>3500</v>
      </c>
      <c r="H48" s="186">
        <f>IF(F48="Fossilfritt", 0.01, 0.07)</f>
        <v>7.0000000000000007E-2</v>
      </c>
      <c r="I48" s="28"/>
    </row>
    <row r="49" spans="2:14" ht="30" customHeight="1" x14ac:dyDescent="0.25">
      <c r="C49" s="148" t="s">
        <v>72</v>
      </c>
      <c r="D49" s="143"/>
      <c r="E49" s="143">
        <v>300</v>
      </c>
      <c r="F49" s="146"/>
      <c r="G49" s="153"/>
      <c r="H49" s="186">
        <f t="shared" ref="H49" si="2">IF(F49="Fossilfritt", 0.01, 0.07)</f>
        <v>7.0000000000000007E-2</v>
      </c>
      <c r="I49" s="28"/>
    </row>
    <row r="50" spans="2:14" ht="30" customHeight="1" x14ac:dyDescent="0.25">
      <c r="C50" s="148" t="s">
        <v>72</v>
      </c>
      <c r="D50" s="143"/>
      <c r="E50" s="143">
        <v>300</v>
      </c>
      <c r="F50" s="146"/>
      <c r="G50" s="153"/>
      <c r="H50" s="186">
        <f>IF(F50="Fossilfritt", 0.01, 0.07)</f>
        <v>7.0000000000000007E-2</v>
      </c>
      <c r="I50" s="28"/>
    </row>
    <row r="51" spans="2:14" ht="30" customHeight="1" x14ac:dyDescent="0.25">
      <c r="B51" s="89"/>
      <c r="C51" s="28"/>
      <c r="D51" s="28"/>
      <c r="F51" s="66"/>
      <c r="G51" s="92"/>
      <c r="H51" s="28"/>
      <c r="I51" s="28"/>
      <c r="L51" s="70"/>
      <c r="M51" s="70"/>
      <c r="N51" s="70"/>
    </row>
    <row r="52" spans="2:14" ht="30" customHeight="1" x14ac:dyDescent="0.25">
      <c r="B52" s="282" t="s">
        <v>420</v>
      </c>
      <c r="C52" s="282"/>
      <c r="D52" s="282"/>
      <c r="E52" s="282"/>
      <c r="F52" s="282"/>
      <c r="G52" s="282"/>
      <c r="H52" s="282"/>
      <c r="I52" s="282"/>
    </row>
    <row r="53" spans="2:14" ht="60" customHeight="1" x14ac:dyDescent="0.25">
      <c r="B53" s="279" t="s">
        <v>421</v>
      </c>
      <c r="C53" s="279"/>
      <c r="D53" s="279"/>
      <c r="E53" s="279"/>
      <c r="F53" s="279"/>
      <c r="G53" s="279"/>
      <c r="H53" s="279"/>
      <c r="I53" s="279"/>
    </row>
    <row r="54" spans="2:14" ht="30" customHeight="1" x14ac:dyDescent="0.25">
      <c r="B54" s="64"/>
      <c r="C54" s="64"/>
      <c r="D54" s="64"/>
      <c r="E54" s="64"/>
      <c r="F54" s="64"/>
      <c r="G54" s="64"/>
      <c r="H54" s="64"/>
      <c r="I54" s="64"/>
    </row>
    <row r="55" spans="2:14" ht="35.1" customHeight="1" x14ac:dyDescent="0.25">
      <c r="B55" s="64"/>
      <c r="C55" s="64"/>
      <c r="D55" s="54" t="s">
        <v>368</v>
      </c>
      <c r="E55" s="55" t="s">
        <v>359</v>
      </c>
      <c r="F55" s="55" t="s">
        <v>362</v>
      </c>
      <c r="G55" s="64"/>
      <c r="H55" s="64"/>
      <c r="I55" s="64"/>
    </row>
    <row r="56" spans="2:14" ht="30" customHeight="1" x14ac:dyDescent="0.25">
      <c r="B56" s="64"/>
      <c r="C56" s="64"/>
      <c r="D56" s="58" t="s">
        <v>360</v>
      </c>
      <c r="E56" s="152"/>
      <c r="F56" s="219"/>
      <c r="G56" s="64"/>
      <c r="H56" s="64"/>
      <c r="I56" s="64"/>
    </row>
    <row r="57" spans="2:14" ht="30" customHeight="1" x14ac:dyDescent="0.25">
      <c r="B57" s="64"/>
      <c r="C57" s="64"/>
      <c r="D57" s="333" t="s">
        <v>361</v>
      </c>
      <c r="E57" s="333"/>
      <c r="F57" s="333"/>
      <c r="G57" s="64"/>
      <c r="H57" s="64"/>
      <c r="I57" s="64"/>
    </row>
    <row r="58" spans="2:14" ht="30" customHeight="1" x14ac:dyDescent="0.25">
      <c r="B58" s="64"/>
      <c r="C58" s="65"/>
      <c r="D58" s="65"/>
      <c r="E58" s="65"/>
      <c r="F58" s="65"/>
      <c r="G58" s="65"/>
      <c r="H58" s="65"/>
      <c r="I58" s="64"/>
    </row>
    <row r="59" spans="2:14" ht="30" customHeight="1" x14ac:dyDescent="0.25">
      <c r="C59" s="54" t="s">
        <v>143</v>
      </c>
      <c r="D59" s="55" t="s">
        <v>370</v>
      </c>
      <c r="E59" s="55" t="s">
        <v>129</v>
      </c>
      <c r="F59" s="55" t="s">
        <v>87</v>
      </c>
      <c r="G59" s="55" t="s">
        <v>138</v>
      </c>
      <c r="H59" s="55" t="s">
        <v>55</v>
      </c>
      <c r="I59" s="68"/>
    </row>
    <row r="60" spans="2:14" ht="30" customHeight="1" x14ac:dyDescent="0.25">
      <c r="C60" s="246" t="s">
        <v>147</v>
      </c>
      <c r="D60" s="143"/>
      <c r="E60" s="143">
        <v>300</v>
      </c>
      <c r="F60" s="146"/>
      <c r="G60" s="87">
        <v>7000</v>
      </c>
      <c r="H60" s="142">
        <f>IF(F60="Fossilfritt", 0.01, 0.07)</f>
        <v>7.0000000000000007E-2</v>
      </c>
      <c r="I60" s="68"/>
    </row>
    <row r="61" spans="2:14" ht="30" customHeight="1" x14ac:dyDescent="0.25">
      <c r="C61" s="247" t="s">
        <v>281</v>
      </c>
      <c r="D61" s="143"/>
      <c r="E61" s="143">
        <v>300</v>
      </c>
      <c r="F61" s="146"/>
      <c r="G61" s="87">
        <v>2000</v>
      </c>
      <c r="H61" s="142">
        <f t="shared" ref="H61:H84" si="3">IF(F61="Fossilfritt", 0.01, 0.07)</f>
        <v>7.0000000000000007E-2</v>
      </c>
      <c r="I61" s="68"/>
    </row>
    <row r="62" spans="2:14" ht="30" customHeight="1" x14ac:dyDescent="0.25">
      <c r="C62" s="247" t="s">
        <v>540</v>
      </c>
      <c r="D62" s="143"/>
      <c r="E62" s="143">
        <v>300</v>
      </c>
      <c r="F62" s="146"/>
      <c r="G62" s="87">
        <v>11000</v>
      </c>
      <c r="H62" s="142">
        <f t="shared" si="3"/>
        <v>7.0000000000000007E-2</v>
      </c>
      <c r="I62" s="68"/>
    </row>
    <row r="63" spans="2:14" ht="30" customHeight="1" x14ac:dyDescent="0.25">
      <c r="C63" s="247" t="s">
        <v>583</v>
      </c>
      <c r="D63" s="143"/>
      <c r="E63" s="143">
        <v>300</v>
      </c>
      <c r="F63" s="146"/>
      <c r="G63" s="87">
        <v>2000</v>
      </c>
      <c r="H63" s="142">
        <f t="shared" si="3"/>
        <v>7.0000000000000007E-2</v>
      </c>
      <c r="I63" s="68"/>
    </row>
    <row r="64" spans="2:14" ht="30" customHeight="1" x14ac:dyDescent="0.25">
      <c r="C64" s="247" t="s">
        <v>584</v>
      </c>
      <c r="D64" s="143"/>
      <c r="E64" s="143">
        <v>300</v>
      </c>
      <c r="F64" s="146"/>
      <c r="G64" s="87">
        <v>1100</v>
      </c>
      <c r="H64" s="142">
        <f>IF(F64="Fossilfritt", 0.01, 0.07)</f>
        <v>7.0000000000000007E-2</v>
      </c>
      <c r="I64" s="68"/>
    </row>
    <row r="65" spans="3:9" ht="30" customHeight="1" x14ac:dyDescent="0.25">
      <c r="C65" s="247" t="s">
        <v>585</v>
      </c>
      <c r="D65" s="143"/>
      <c r="E65" s="143">
        <v>300</v>
      </c>
      <c r="F65" s="146"/>
      <c r="G65" s="87">
        <v>5460</v>
      </c>
      <c r="H65" s="142">
        <f t="shared" ref="H65:H69" si="4">IF(F65="Fossilfritt", 0.01, 0.07)</f>
        <v>7.0000000000000007E-2</v>
      </c>
      <c r="I65" s="68"/>
    </row>
    <row r="66" spans="3:9" ht="30" customHeight="1" x14ac:dyDescent="0.25">
      <c r="C66" s="251" t="s">
        <v>586</v>
      </c>
      <c r="D66" s="143"/>
      <c r="E66" s="143">
        <v>300</v>
      </c>
      <c r="F66" s="146"/>
      <c r="G66" s="87">
        <v>1370</v>
      </c>
      <c r="H66" s="142">
        <f t="shared" si="4"/>
        <v>7.0000000000000007E-2</v>
      </c>
      <c r="I66" s="68"/>
    </row>
    <row r="67" spans="3:9" ht="30" customHeight="1" x14ac:dyDescent="0.25">
      <c r="C67" s="247" t="s">
        <v>541</v>
      </c>
      <c r="D67" s="143"/>
      <c r="E67" s="143">
        <v>300</v>
      </c>
      <c r="F67" s="146"/>
      <c r="G67" s="87">
        <v>2600</v>
      </c>
      <c r="H67" s="142">
        <f t="shared" si="4"/>
        <v>7.0000000000000007E-2</v>
      </c>
      <c r="I67" s="68"/>
    </row>
    <row r="68" spans="3:9" ht="30" customHeight="1" x14ac:dyDescent="0.25">
      <c r="C68" s="247" t="s">
        <v>587</v>
      </c>
      <c r="D68" s="143"/>
      <c r="E68" s="143">
        <v>300</v>
      </c>
      <c r="F68" s="146"/>
      <c r="G68" s="87">
        <v>2000</v>
      </c>
      <c r="H68" s="142">
        <f t="shared" si="4"/>
        <v>7.0000000000000007E-2</v>
      </c>
      <c r="I68" s="68"/>
    </row>
    <row r="69" spans="3:9" ht="30" customHeight="1" x14ac:dyDescent="0.25">
      <c r="C69" s="251" t="s">
        <v>588</v>
      </c>
      <c r="D69" s="143"/>
      <c r="E69" s="143">
        <v>300</v>
      </c>
      <c r="F69" s="146"/>
      <c r="G69" s="87">
        <v>800</v>
      </c>
      <c r="H69" s="142">
        <f t="shared" si="4"/>
        <v>7.0000000000000007E-2</v>
      </c>
      <c r="I69" s="68"/>
    </row>
    <row r="70" spans="3:9" ht="30" customHeight="1" x14ac:dyDescent="0.25">
      <c r="C70" s="247" t="s">
        <v>89</v>
      </c>
      <c r="D70" s="152"/>
      <c r="E70" s="143">
        <v>300</v>
      </c>
      <c r="F70" s="146"/>
      <c r="G70" s="87">
        <v>6</v>
      </c>
      <c r="H70" s="142">
        <f t="shared" si="3"/>
        <v>7.0000000000000007E-2</v>
      </c>
      <c r="I70" s="68"/>
    </row>
    <row r="71" spans="3:9" ht="30" customHeight="1" x14ac:dyDescent="0.25">
      <c r="C71" s="246" t="s">
        <v>144</v>
      </c>
      <c r="D71" s="143"/>
      <c r="E71" s="143">
        <v>300</v>
      </c>
      <c r="F71" s="146"/>
      <c r="G71" s="87">
        <v>1150</v>
      </c>
      <c r="H71" s="142">
        <f t="shared" si="3"/>
        <v>7.0000000000000007E-2</v>
      </c>
      <c r="I71" s="68"/>
    </row>
    <row r="72" spans="3:9" ht="30" customHeight="1" x14ac:dyDescent="0.25">
      <c r="C72" s="246" t="s">
        <v>279</v>
      </c>
      <c r="D72" s="143"/>
      <c r="E72" s="143">
        <v>300</v>
      </c>
      <c r="F72" s="146"/>
      <c r="G72" s="87">
        <v>890</v>
      </c>
      <c r="H72" s="142">
        <f t="shared" si="3"/>
        <v>7.0000000000000007E-2</v>
      </c>
      <c r="I72" s="28"/>
    </row>
    <row r="73" spans="3:9" ht="30" customHeight="1" x14ac:dyDescent="0.25">
      <c r="C73" s="246" t="s">
        <v>145</v>
      </c>
      <c r="D73" s="143"/>
      <c r="E73" s="143">
        <v>300</v>
      </c>
      <c r="F73" s="146"/>
      <c r="G73" s="87">
        <v>44</v>
      </c>
      <c r="H73" s="142">
        <f t="shared" si="3"/>
        <v>7.0000000000000007E-2</v>
      </c>
      <c r="I73" s="28"/>
    </row>
    <row r="74" spans="3:9" ht="30" customHeight="1" x14ac:dyDescent="0.25">
      <c r="C74" s="246" t="s">
        <v>452</v>
      </c>
      <c r="D74" s="143"/>
      <c r="E74" s="143">
        <v>300</v>
      </c>
      <c r="F74" s="146"/>
      <c r="G74" s="87">
        <v>17</v>
      </c>
      <c r="H74" s="142">
        <f t="shared" si="3"/>
        <v>7.0000000000000007E-2</v>
      </c>
      <c r="I74" s="28"/>
    </row>
    <row r="75" spans="3:9" ht="30" customHeight="1" x14ac:dyDescent="0.25">
      <c r="C75" s="246" t="s">
        <v>454</v>
      </c>
      <c r="D75" s="143"/>
      <c r="E75" s="143">
        <v>300</v>
      </c>
      <c r="F75" s="146"/>
      <c r="G75" s="87">
        <v>330</v>
      </c>
      <c r="H75" s="142">
        <f t="shared" si="3"/>
        <v>7.0000000000000007E-2</v>
      </c>
      <c r="I75" s="28"/>
    </row>
    <row r="76" spans="3:9" ht="30" customHeight="1" x14ac:dyDescent="0.25">
      <c r="C76" s="246" t="s">
        <v>455</v>
      </c>
      <c r="D76" s="143"/>
      <c r="E76" s="143">
        <v>300</v>
      </c>
      <c r="F76" s="146"/>
      <c r="G76" s="87">
        <v>165</v>
      </c>
      <c r="H76" s="142">
        <f t="shared" si="3"/>
        <v>7.0000000000000007E-2</v>
      </c>
      <c r="I76" s="28"/>
    </row>
    <row r="77" spans="3:9" ht="30" customHeight="1" x14ac:dyDescent="0.25">
      <c r="C77" s="246" t="s">
        <v>146</v>
      </c>
      <c r="D77" s="143"/>
      <c r="E77" s="143">
        <v>300</v>
      </c>
      <c r="F77" s="146"/>
      <c r="G77" s="87">
        <v>710</v>
      </c>
      <c r="H77" s="142">
        <f t="shared" si="3"/>
        <v>7.0000000000000007E-2</v>
      </c>
      <c r="I77" s="28"/>
    </row>
    <row r="78" spans="3:9" ht="30" customHeight="1" x14ac:dyDescent="0.25">
      <c r="C78" s="246" t="s">
        <v>377</v>
      </c>
      <c r="D78" s="143"/>
      <c r="E78" s="143">
        <v>300</v>
      </c>
      <c r="F78" s="146"/>
      <c r="G78" s="87">
        <v>320</v>
      </c>
      <c r="H78" s="142">
        <f t="shared" si="3"/>
        <v>7.0000000000000007E-2</v>
      </c>
      <c r="I78" s="28"/>
    </row>
    <row r="79" spans="3:9" ht="30" customHeight="1" x14ac:dyDescent="0.25">
      <c r="C79" s="246" t="s">
        <v>453</v>
      </c>
      <c r="D79" s="143"/>
      <c r="E79" s="143">
        <v>300</v>
      </c>
      <c r="F79" s="146"/>
      <c r="G79" s="87">
        <v>83</v>
      </c>
      <c r="H79" s="142">
        <f t="shared" si="3"/>
        <v>7.0000000000000007E-2</v>
      </c>
      <c r="I79" s="28"/>
    </row>
    <row r="80" spans="3:9" ht="30" customHeight="1" x14ac:dyDescent="0.25">
      <c r="C80" s="246" t="s">
        <v>411</v>
      </c>
      <c r="D80" s="143"/>
      <c r="E80" s="143">
        <v>300</v>
      </c>
      <c r="F80" s="146"/>
      <c r="G80" s="87">
        <v>530</v>
      </c>
      <c r="H80" s="142">
        <f t="shared" si="3"/>
        <v>7.0000000000000007E-2</v>
      </c>
      <c r="I80" s="28"/>
    </row>
    <row r="81" spans="3:9" ht="30" customHeight="1" x14ac:dyDescent="0.25">
      <c r="C81" s="246" t="s">
        <v>148</v>
      </c>
      <c r="D81" s="143"/>
      <c r="E81" s="143">
        <v>300</v>
      </c>
      <c r="F81" s="146"/>
      <c r="G81" s="87">
        <v>200</v>
      </c>
      <c r="H81" s="142">
        <f t="shared" si="3"/>
        <v>7.0000000000000007E-2</v>
      </c>
      <c r="I81" s="28"/>
    </row>
    <row r="82" spans="3:9" ht="30" customHeight="1" x14ac:dyDescent="0.25">
      <c r="C82" s="246" t="s">
        <v>456</v>
      </c>
      <c r="D82" s="143"/>
      <c r="E82" s="143">
        <v>300</v>
      </c>
      <c r="F82" s="146"/>
      <c r="G82" s="87">
        <v>75</v>
      </c>
      <c r="H82" s="142">
        <f t="shared" si="3"/>
        <v>7.0000000000000007E-2</v>
      </c>
      <c r="I82" s="28"/>
    </row>
    <row r="83" spans="3:9" ht="30" customHeight="1" x14ac:dyDescent="0.25">
      <c r="C83" s="246" t="s">
        <v>441</v>
      </c>
      <c r="D83" s="143"/>
      <c r="E83" s="143">
        <v>300</v>
      </c>
      <c r="F83" s="146"/>
      <c r="G83" s="87">
        <v>120</v>
      </c>
      <c r="H83" s="142">
        <f t="shared" si="3"/>
        <v>7.0000000000000007E-2</v>
      </c>
      <c r="I83" s="28"/>
    </row>
    <row r="84" spans="3:9" ht="30" customHeight="1" x14ac:dyDescent="0.25">
      <c r="C84" s="246" t="s">
        <v>380</v>
      </c>
      <c r="D84" s="143"/>
      <c r="E84" s="143">
        <v>300</v>
      </c>
      <c r="F84" s="146"/>
      <c r="G84" s="87">
        <v>450</v>
      </c>
      <c r="H84" s="142">
        <f t="shared" si="3"/>
        <v>7.0000000000000007E-2</v>
      </c>
      <c r="I84" s="28"/>
    </row>
    <row r="85" spans="3:9" ht="30" customHeight="1" x14ac:dyDescent="0.25">
      <c r="C85" s="246" t="s">
        <v>577</v>
      </c>
      <c r="D85" s="143"/>
      <c r="E85" s="143">
        <v>300</v>
      </c>
      <c r="F85" s="146"/>
      <c r="G85" s="87">
        <v>2082</v>
      </c>
      <c r="H85" s="142">
        <f t="shared" ref="H85:H98" si="5">IF(F85="Fossilfritt", 0.01, 0.07)</f>
        <v>7.0000000000000007E-2</v>
      </c>
      <c r="I85" s="28"/>
    </row>
    <row r="86" spans="3:9" ht="30" customHeight="1" x14ac:dyDescent="0.25">
      <c r="C86" s="246" t="s">
        <v>574</v>
      </c>
      <c r="D86" s="143"/>
      <c r="E86" s="143">
        <v>300</v>
      </c>
      <c r="F86" s="146"/>
      <c r="G86" s="87">
        <v>526</v>
      </c>
      <c r="H86" s="142">
        <f t="shared" si="5"/>
        <v>7.0000000000000007E-2</v>
      </c>
      <c r="I86" s="28"/>
    </row>
    <row r="87" spans="3:9" ht="30" customHeight="1" x14ac:dyDescent="0.25">
      <c r="C87" s="246" t="s">
        <v>153</v>
      </c>
      <c r="D87" s="143"/>
      <c r="E87" s="143">
        <v>300</v>
      </c>
      <c r="F87" s="146"/>
      <c r="G87" s="87">
        <v>2000</v>
      </c>
      <c r="H87" s="142">
        <f t="shared" si="5"/>
        <v>7.0000000000000007E-2</v>
      </c>
      <c r="I87" s="28"/>
    </row>
    <row r="88" spans="3:9" ht="30" customHeight="1" x14ac:dyDescent="0.25">
      <c r="C88" s="246" t="s">
        <v>542</v>
      </c>
      <c r="D88" s="143"/>
      <c r="E88" s="143">
        <v>300</v>
      </c>
      <c r="F88" s="146"/>
      <c r="G88" s="87">
        <v>500</v>
      </c>
      <c r="H88" s="142">
        <f t="shared" si="5"/>
        <v>7.0000000000000007E-2</v>
      </c>
      <c r="I88" s="28"/>
    </row>
    <row r="89" spans="3:9" ht="30" customHeight="1" x14ac:dyDescent="0.25">
      <c r="C89" s="246" t="s">
        <v>152</v>
      </c>
      <c r="D89" s="143"/>
      <c r="E89" s="143">
        <v>300</v>
      </c>
      <c r="F89" s="146"/>
      <c r="G89" s="87">
        <v>500</v>
      </c>
      <c r="H89" s="142">
        <f t="shared" si="5"/>
        <v>7.0000000000000007E-2</v>
      </c>
      <c r="I89" s="28"/>
    </row>
    <row r="90" spans="3:9" ht="30" customHeight="1" x14ac:dyDescent="0.25">
      <c r="C90" s="246" t="s">
        <v>149</v>
      </c>
      <c r="D90" s="143"/>
      <c r="E90" s="143">
        <v>300</v>
      </c>
      <c r="F90" s="146"/>
      <c r="G90" s="87">
        <v>500</v>
      </c>
      <c r="H90" s="142">
        <f t="shared" si="5"/>
        <v>7.0000000000000007E-2</v>
      </c>
      <c r="I90" s="28"/>
    </row>
    <row r="91" spans="3:9" ht="30" customHeight="1" x14ac:dyDescent="0.25">
      <c r="C91" s="246" t="s">
        <v>150</v>
      </c>
      <c r="D91" s="143"/>
      <c r="E91" s="143">
        <v>300</v>
      </c>
      <c r="F91" s="146"/>
      <c r="G91" s="87">
        <v>500</v>
      </c>
      <c r="H91" s="142">
        <f t="shared" si="5"/>
        <v>7.0000000000000007E-2</v>
      </c>
      <c r="I91" s="28"/>
    </row>
    <row r="92" spans="3:9" ht="30" customHeight="1" x14ac:dyDescent="0.25">
      <c r="C92" s="246" t="s">
        <v>151</v>
      </c>
      <c r="D92" s="143"/>
      <c r="E92" s="143">
        <v>300</v>
      </c>
      <c r="F92" s="146"/>
      <c r="G92" s="87">
        <v>500</v>
      </c>
      <c r="H92" s="142">
        <f t="shared" si="5"/>
        <v>7.0000000000000007E-2</v>
      </c>
      <c r="I92" s="28"/>
    </row>
    <row r="93" spans="3:9" ht="30" customHeight="1" x14ac:dyDescent="0.25">
      <c r="C93" s="246" t="s">
        <v>543</v>
      </c>
      <c r="D93" s="143"/>
      <c r="E93" s="143">
        <v>300</v>
      </c>
      <c r="F93" s="146"/>
      <c r="G93" s="87">
        <v>1000</v>
      </c>
      <c r="H93" s="142">
        <f t="shared" si="5"/>
        <v>7.0000000000000007E-2</v>
      </c>
      <c r="I93" s="28"/>
    </row>
    <row r="94" spans="3:9" ht="30" customHeight="1" x14ac:dyDescent="0.25">
      <c r="C94" s="246" t="s">
        <v>544</v>
      </c>
      <c r="D94" s="143"/>
      <c r="E94" s="143">
        <v>300</v>
      </c>
      <c r="F94" s="146"/>
      <c r="G94" s="87">
        <v>1000</v>
      </c>
      <c r="H94" s="142">
        <f t="shared" si="5"/>
        <v>7.0000000000000007E-2</v>
      </c>
      <c r="I94" s="28"/>
    </row>
    <row r="95" spans="3:9" ht="30" customHeight="1" x14ac:dyDescent="0.25">
      <c r="C95" s="148" t="s">
        <v>72</v>
      </c>
      <c r="D95" s="143"/>
      <c r="E95" s="143">
        <v>300</v>
      </c>
      <c r="F95" s="146"/>
      <c r="G95" s="153"/>
      <c r="H95" s="142">
        <f t="shared" si="5"/>
        <v>7.0000000000000007E-2</v>
      </c>
      <c r="I95" s="28"/>
    </row>
    <row r="96" spans="3:9" ht="30" customHeight="1" x14ac:dyDescent="0.25">
      <c r="C96" s="148" t="s">
        <v>72</v>
      </c>
      <c r="D96" s="143"/>
      <c r="E96" s="143">
        <v>300</v>
      </c>
      <c r="F96" s="146"/>
      <c r="G96" s="153"/>
      <c r="H96" s="142">
        <f t="shared" si="5"/>
        <v>7.0000000000000007E-2</v>
      </c>
      <c r="I96" s="28"/>
    </row>
    <row r="97" spans="2:9" ht="30" customHeight="1" x14ac:dyDescent="0.25">
      <c r="C97" s="148" t="s">
        <v>72</v>
      </c>
      <c r="D97" s="143"/>
      <c r="E97" s="143">
        <v>300</v>
      </c>
      <c r="F97" s="146"/>
      <c r="G97" s="153"/>
      <c r="H97" s="142">
        <f t="shared" si="5"/>
        <v>7.0000000000000007E-2</v>
      </c>
      <c r="I97" s="28"/>
    </row>
    <row r="98" spans="2:9" ht="30" customHeight="1" x14ac:dyDescent="0.25">
      <c r="C98" s="148" t="s">
        <v>72</v>
      </c>
      <c r="D98" s="143"/>
      <c r="E98" s="143">
        <v>300</v>
      </c>
      <c r="F98" s="146"/>
      <c r="G98" s="153"/>
      <c r="H98" s="142">
        <f t="shared" si="5"/>
        <v>7.0000000000000007E-2</v>
      </c>
      <c r="I98" s="28"/>
    </row>
    <row r="99" spans="2:9" ht="30" customHeight="1" x14ac:dyDescent="0.25">
      <c r="C99" s="334" t="s">
        <v>545</v>
      </c>
      <c r="D99" s="335"/>
      <c r="E99" s="335"/>
      <c r="F99" s="335"/>
      <c r="G99" s="335"/>
      <c r="H99" s="335"/>
      <c r="I99" s="28"/>
    </row>
    <row r="100" spans="2:9" ht="30" customHeight="1" x14ac:dyDescent="0.25">
      <c r="I100" s="28"/>
    </row>
    <row r="101" spans="2:9" ht="30" customHeight="1" x14ac:dyDescent="0.25">
      <c r="B101" s="336" t="s">
        <v>546</v>
      </c>
      <c r="C101" s="336"/>
      <c r="D101" s="336"/>
      <c r="E101" s="336"/>
      <c r="F101" s="336"/>
      <c r="G101" s="336"/>
      <c r="H101" s="336"/>
      <c r="I101" s="336"/>
    </row>
    <row r="102" spans="2:9" s="252" customFormat="1" ht="39.950000000000003" customHeight="1" x14ac:dyDescent="0.25">
      <c r="B102" s="337" t="s">
        <v>608</v>
      </c>
      <c r="C102" s="337"/>
      <c r="D102" s="337"/>
      <c r="E102" s="337"/>
      <c r="F102" s="337"/>
      <c r="G102" s="337"/>
      <c r="H102" s="337"/>
      <c r="I102" s="337"/>
    </row>
    <row r="103" spans="2:9" ht="30" customHeight="1" x14ac:dyDescent="0.25">
      <c r="C103" s="332" t="s">
        <v>557</v>
      </c>
      <c r="D103" s="332"/>
      <c r="E103" s="332"/>
      <c r="F103" s="332"/>
      <c r="G103" s="332"/>
      <c r="H103" s="332"/>
      <c r="I103" s="253"/>
    </row>
    <row r="104" spans="2:9" ht="30" customHeight="1" x14ac:dyDescent="0.25">
      <c r="I104" s="28"/>
    </row>
    <row r="105" spans="2:9" ht="30" customHeight="1" x14ac:dyDescent="0.25">
      <c r="C105" s="76" t="s">
        <v>547</v>
      </c>
      <c r="D105" s="76" t="s">
        <v>548</v>
      </c>
      <c r="E105" s="76" t="s">
        <v>86</v>
      </c>
      <c r="F105" s="55" t="s">
        <v>87</v>
      </c>
      <c r="G105" s="78" t="s">
        <v>553</v>
      </c>
      <c r="H105" s="78" t="s">
        <v>549</v>
      </c>
      <c r="I105" s="28"/>
    </row>
    <row r="106" spans="2:9" ht="30" customHeight="1" x14ac:dyDescent="0.25">
      <c r="C106" s="240" t="s">
        <v>550</v>
      </c>
      <c r="D106" s="147"/>
      <c r="E106" s="147">
        <v>300</v>
      </c>
      <c r="F106" s="147"/>
      <c r="G106" s="241">
        <v>90</v>
      </c>
      <c r="H106" s="142">
        <f t="shared" ref="H106:H110" si="6">IF(F106="Fossilfritt", 0.01, 0.07)</f>
        <v>7.0000000000000007E-2</v>
      </c>
      <c r="I106" s="28"/>
    </row>
    <row r="107" spans="2:9" ht="30" customHeight="1" x14ac:dyDescent="0.25">
      <c r="C107" s="240" t="s">
        <v>551</v>
      </c>
      <c r="D107" s="147"/>
      <c r="E107" s="147">
        <v>300</v>
      </c>
      <c r="F107" s="147"/>
      <c r="G107" s="241">
        <v>444</v>
      </c>
      <c r="H107" s="142">
        <f t="shared" si="6"/>
        <v>7.0000000000000007E-2</v>
      </c>
      <c r="I107" s="28"/>
    </row>
    <row r="108" spans="2:9" ht="30" customHeight="1" x14ac:dyDescent="0.25">
      <c r="C108" s="240" t="s">
        <v>552</v>
      </c>
      <c r="D108" s="147"/>
      <c r="E108" s="147">
        <v>300</v>
      </c>
      <c r="F108" s="147"/>
      <c r="G108" s="241">
        <v>410</v>
      </c>
      <c r="H108" s="142">
        <f t="shared" si="6"/>
        <v>7.0000000000000007E-2</v>
      </c>
      <c r="I108" s="28"/>
    </row>
    <row r="109" spans="2:9" ht="30" customHeight="1" x14ac:dyDescent="0.25">
      <c r="C109" s="148" t="s">
        <v>72</v>
      </c>
      <c r="D109" s="147"/>
      <c r="E109" s="147">
        <v>300</v>
      </c>
      <c r="F109" s="147"/>
      <c r="G109" s="147"/>
      <c r="H109" s="142">
        <f t="shared" si="6"/>
        <v>7.0000000000000007E-2</v>
      </c>
      <c r="I109" s="28"/>
    </row>
    <row r="110" spans="2:9" ht="30" customHeight="1" x14ac:dyDescent="0.25">
      <c r="C110" s="148" t="s">
        <v>72</v>
      </c>
      <c r="D110" s="147"/>
      <c r="E110" s="147">
        <v>300</v>
      </c>
      <c r="F110" s="147"/>
      <c r="G110" s="147"/>
      <c r="H110" s="142">
        <f t="shared" si="6"/>
        <v>7.0000000000000007E-2</v>
      </c>
      <c r="I110" s="28"/>
    </row>
    <row r="111" spans="2:9" ht="30" customHeight="1" x14ac:dyDescent="0.25">
      <c r="I111" s="28"/>
    </row>
    <row r="112" spans="2:9" ht="30" customHeight="1" x14ac:dyDescent="0.25">
      <c r="C112" s="332" t="s">
        <v>558</v>
      </c>
      <c r="D112" s="332"/>
      <c r="E112" s="332"/>
      <c r="F112" s="332"/>
      <c r="G112" s="332"/>
      <c r="H112" s="332"/>
      <c r="I112" s="253"/>
    </row>
    <row r="113" spans="2:13" ht="30" customHeight="1" x14ac:dyDescent="0.25">
      <c r="I113" s="28"/>
    </row>
    <row r="114" spans="2:13" ht="30" customHeight="1" x14ac:dyDescent="0.25">
      <c r="C114" s="76" t="s">
        <v>547</v>
      </c>
      <c r="D114" s="76" t="s">
        <v>548</v>
      </c>
      <c r="E114" s="76" t="s">
        <v>86</v>
      </c>
      <c r="F114" s="55" t="s">
        <v>87</v>
      </c>
      <c r="G114" s="78" t="s">
        <v>553</v>
      </c>
      <c r="H114" s="78" t="s">
        <v>549</v>
      </c>
      <c r="I114" s="28"/>
    </row>
    <row r="115" spans="2:13" ht="30" customHeight="1" x14ac:dyDescent="0.25">
      <c r="C115" s="240" t="s">
        <v>554</v>
      </c>
      <c r="D115" s="255"/>
      <c r="E115" s="147">
        <v>300</v>
      </c>
      <c r="F115" s="255"/>
      <c r="G115" s="241">
        <v>90</v>
      </c>
      <c r="H115" s="142">
        <f t="shared" ref="H115:H118" si="7">IF(F115="Fossilfritt", 0.01, 0.07)</f>
        <v>7.0000000000000007E-2</v>
      </c>
      <c r="I115" s="28"/>
    </row>
    <row r="116" spans="2:13" ht="30" customHeight="1" x14ac:dyDescent="0.25">
      <c r="C116" s="240" t="s">
        <v>555</v>
      </c>
      <c r="D116" s="255"/>
      <c r="E116" s="147">
        <v>300</v>
      </c>
      <c r="F116" s="255"/>
      <c r="G116" s="241">
        <v>477</v>
      </c>
      <c r="H116" s="142">
        <f t="shared" si="7"/>
        <v>7.0000000000000007E-2</v>
      </c>
      <c r="I116" s="28"/>
    </row>
    <row r="117" spans="2:13" ht="30" customHeight="1" x14ac:dyDescent="0.25">
      <c r="C117" s="256" t="s">
        <v>72</v>
      </c>
      <c r="D117" s="255"/>
      <c r="E117" s="147">
        <v>300</v>
      </c>
      <c r="F117" s="255"/>
      <c r="G117" s="255"/>
      <c r="H117" s="142">
        <f t="shared" si="7"/>
        <v>7.0000000000000007E-2</v>
      </c>
      <c r="I117" s="28"/>
    </row>
    <row r="118" spans="2:13" ht="30" customHeight="1" x14ac:dyDescent="0.25">
      <c r="C118" s="256" t="s">
        <v>72</v>
      </c>
      <c r="D118" s="255"/>
      <c r="E118" s="147">
        <v>300</v>
      </c>
      <c r="F118" s="255"/>
      <c r="G118" s="255"/>
      <c r="H118" s="142">
        <f t="shared" si="7"/>
        <v>7.0000000000000007E-2</v>
      </c>
      <c r="I118" s="28"/>
    </row>
    <row r="119" spans="2:13" ht="30" customHeight="1" x14ac:dyDescent="0.25">
      <c r="I119" s="28"/>
    </row>
    <row r="120" spans="2:13" ht="30" customHeight="1" x14ac:dyDescent="0.25">
      <c r="C120" s="332" t="s">
        <v>559</v>
      </c>
      <c r="D120" s="332"/>
      <c r="E120" s="332"/>
      <c r="F120" s="332"/>
      <c r="G120" s="332"/>
      <c r="H120" s="332"/>
      <c r="I120" s="253"/>
    </row>
    <row r="121" spans="2:13" ht="30" customHeight="1" x14ac:dyDescent="0.25">
      <c r="I121" s="28"/>
    </row>
    <row r="122" spans="2:13" ht="30" customHeight="1" x14ac:dyDescent="0.25">
      <c r="C122" s="76" t="s">
        <v>547</v>
      </c>
      <c r="D122" s="76" t="s">
        <v>548</v>
      </c>
      <c r="E122" s="76" t="s">
        <v>86</v>
      </c>
      <c r="F122" s="55" t="s">
        <v>87</v>
      </c>
      <c r="G122" s="78" t="s">
        <v>553</v>
      </c>
      <c r="H122" s="78" t="s">
        <v>549</v>
      </c>
      <c r="I122" s="28"/>
    </row>
    <row r="123" spans="2:13" ht="30" customHeight="1" x14ac:dyDescent="0.25">
      <c r="C123" s="242" t="s">
        <v>556</v>
      </c>
      <c r="D123" s="257"/>
      <c r="E123" s="147">
        <v>300</v>
      </c>
      <c r="F123" s="257"/>
      <c r="G123" s="243">
        <v>90</v>
      </c>
      <c r="H123" s="142">
        <f t="shared" ref="H123:H125" si="8">IF(F123="Fossilfritt", 0.01, 0.07)</f>
        <v>7.0000000000000007E-2</v>
      </c>
      <c r="I123" s="28"/>
    </row>
    <row r="124" spans="2:13" ht="30" customHeight="1" x14ac:dyDescent="0.25">
      <c r="C124" s="258" t="s">
        <v>72</v>
      </c>
      <c r="D124" s="257"/>
      <c r="E124" s="147">
        <v>300</v>
      </c>
      <c r="F124" s="257"/>
      <c r="G124" s="257"/>
      <c r="H124" s="142">
        <f t="shared" si="8"/>
        <v>7.0000000000000007E-2</v>
      </c>
      <c r="I124" s="28"/>
    </row>
    <row r="125" spans="2:13" ht="30" customHeight="1" x14ac:dyDescent="0.25">
      <c r="C125" s="258" t="s">
        <v>72</v>
      </c>
      <c r="D125" s="257"/>
      <c r="E125" s="147">
        <v>300</v>
      </c>
      <c r="F125" s="257"/>
      <c r="G125" s="257"/>
      <c r="H125" s="142">
        <f t="shared" si="8"/>
        <v>7.0000000000000007E-2</v>
      </c>
      <c r="I125" s="28"/>
    </row>
    <row r="126" spans="2:13" ht="30" customHeight="1" x14ac:dyDescent="0.25">
      <c r="C126" s="254"/>
      <c r="D126" s="254"/>
      <c r="E126" s="254"/>
      <c r="F126" s="254"/>
      <c r="G126" s="254"/>
      <c r="H126" s="254"/>
      <c r="I126" s="28"/>
    </row>
    <row r="127" spans="2:13" ht="30" customHeight="1" x14ac:dyDescent="0.25">
      <c r="B127" s="89"/>
      <c r="C127" s="28"/>
      <c r="D127" s="28"/>
      <c r="F127" s="66"/>
      <c r="G127" s="92"/>
      <c r="H127" s="28"/>
      <c r="I127" s="28"/>
      <c r="K127" s="63"/>
      <c r="L127" s="70"/>
      <c r="M127" s="70"/>
    </row>
    <row r="128" spans="2:13" ht="30" hidden="1" customHeight="1" x14ac:dyDescent="0.25">
      <c r="B128" s="89"/>
      <c r="C128" s="90"/>
      <c r="D128" s="90"/>
      <c r="E128" s="91"/>
      <c r="F128" s="70"/>
      <c r="G128" s="92"/>
      <c r="H128" s="28"/>
      <c r="I128" s="28"/>
      <c r="K128" s="63" t="e">
        <f>'Lägg in data här för kemikalier'!#REF!</f>
        <v>#REF!</v>
      </c>
      <c r="L128" s="70" t="e">
        <f>'Lägg in data här för kemikalier'!#REF!*'Lägg in data här för kemikalier'!#REF!</f>
        <v>#REF!</v>
      </c>
      <c r="M128" s="70" t="e">
        <f>'Lägg in data här för kemikalier'!#REF!*'Lägg in data här för kemikalier'!#REF!</f>
        <v>#REF!</v>
      </c>
    </row>
    <row r="129" spans="2:13" ht="30" hidden="1" customHeight="1" x14ac:dyDescent="0.25">
      <c r="B129" s="89"/>
      <c r="C129" s="90"/>
      <c r="D129" s="90"/>
      <c r="E129" s="91"/>
      <c r="F129" s="70"/>
      <c r="G129" s="92"/>
      <c r="H129" s="28"/>
      <c r="I129" s="28"/>
      <c r="K129" s="63" t="e">
        <f>'Lägg in data här för kemikalier'!#REF!</f>
        <v>#REF!</v>
      </c>
      <c r="L129" s="70" t="e">
        <f>'Lägg in data här för kemikalier'!#REF!*'Lägg in data här för kemikalier'!#REF!</f>
        <v>#REF!</v>
      </c>
      <c r="M129" s="70" t="e">
        <f>'Lägg in data här för kemikalier'!#REF!*'Lägg in data här för kemikalier'!#REF!</f>
        <v>#REF!</v>
      </c>
    </row>
    <row r="130" spans="2:13" ht="30" hidden="1" customHeight="1" x14ac:dyDescent="0.25">
      <c r="B130" s="89"/>
      <c r="C130" s="90"/>
      <c r="D130" s="90"/>
      <c r="E130" s="91"/>
      <c r="F130" s="70"/>
      <c r="G130" s="92"/>
      <c r="H130" s="28"/>
      <c r="I130" s="28"/>
      <c r="K130" s="63" t="e">
        <f>'Lägg in data här för kemikalier'!#REF!</f>
        <v>#REF!</v>
      </c>
      <c r="L130" s="70" t="e">
        <f>'Lägg in data här för kemikalier'!#REF!*'Lägg in data här för kemikalier'!#REF!</f>
        <v>#REF!</v>
      </c>
      <c r="M130" s="70" t="e">
        <f>'Lägg in data här för kemikalier'!#REF!*'Lägg in data här för kemikalier'!#REF!</f>
        <v>#REF!</v>
      </c>
    </row>
    <row r="131" spans="2:13" ht="30" hidden="1" customHeight="1" x14ac:dyDescent="0.25">
      <c r="B131" s="89"/>
      <c r="C131" s="90"/>
      <c r="D131" s="90"/>
      <c r="E131" s="91"/>
      <c r="F131" s="70"/>
      <c r="G131" s="92"/>
      <c r="H131" s="28"/>
      <c r="I131" s="28"/>
      <c r="K131" s="63" t="e">
        <f>'Lägg in data här för kemikalier'!#REF!</f>
        <v>#REF!</v>
      </c>
      <c r="L131" s="70" t="e">
        <f>'Lägg in data här för kemikalier'!#REF!*'Lägg in data här för kemikalier'!#REF!</f>
        <v>#REF!</v>
      </c>
      <c r="M131" s="70" t="e">
        <f>'Lägg in data här för kemikalier'!#REF!*'Lägg in data här för kemikalier'!#REF!</f>
        <v>#REF!</v>
      </c>
    </row>
    <row r="132" spans="2:13" ht="30" hidden="1" customHeight="1" x14ac:dyDescent="0.25">
      <c r="B132" s="89"/>
      <c r="C132" s="90"/>
      <c r="D132" s="90"/>
      <c r="E132" s="91"/>
      <c r="F132" s="70"/>
      <c r="G132" s="92"/>
      <c r="H132" s="28"/>
      <c r="I132" s="28"/>
      <c r="K132" s="63" t="str">
        <f>'Lägg in data här för kemikalier'!C41</f>
        <v>Annan</v>
      </c>
      <c r="L132" s="70">
        <f>'Lägg in data här för kemikalier'!D41*'Lägg in data här för kemikalier'!G41</f>
        <v>0</v>
      </c>
      <c r="M132" s="70" t="e">
        <f>'Lägg in data här för kemikalier'!#REF!*'Lägg in data här för kemikalier'!H41</f>
        <v>#REF!</v>
      </c>
    </row>
    <row r="133" spans="2:13" ht="30" hidden="1" customHeight="1" x14ac:dyDescent="0.25">
      <c r="B133" s="89"/>
      <c r="C133" s="90"/>
      <c r="D133" s="90"/>
      <c r="E133" s="91"/>
      <c r="F133" s="70"/>
      <c r="G133" s="92"/>
      <c r="H133" s="28"/>
      <c r="I133" s="28"/>
    </row>
    <row r="134" spans="2:13" ht="30" hidden="1" customHeight="1" x14ac:dyDescent="0.25">
      <c r="B134" s="89"/>
      <c r="C134" s="90"/>
      <c r="D134" s="90"/>
      <c r="E134" s="91"/>
      <c r="F134" s="70"/>
      <c r="G134" s="92"/>
      <c r="H134" s="28"/>
      <c r="I134" s="28"/>
    </row>
    <row r="135" spans="2:13" ht="30" hidden="1" customHeight="1" x14ac:dyDescent="0.25">
      <c r="B135" s="89"/>
      <c r="C135" s="90"/>
      <c r="D135" s="90"/>
      <c r="E135" s="91"/>
      <c r="F135" s="70"/>
      <c r="G135" s="92"/>
      <c r="H135" s="28"/>
      <c r="I135" s="28"/>
    </row>
    <row r="136" spans="2:13" ht="30" hidden="1" customHeight="1" x14ac:dyDescent="0.25">
      <c r="B136" s="89"/>
      <c r="C136" s="90"/>
      <c r="D136" s="90"/>
      <c r="E136" s="91"/>
      <c r="F136" s="70"/>
      <c r="G136" s="92"/>
      <c r="H136" s="28"/>
      <c r="I136" s="28"/>
    </row>
    <row r="137" spans="2:13" ht="30" hidden="1" customHeight="1" x14ac:dyDescent="0.25">
      <c r="B137" s="89"/>
      <c r="C137" s="90"/>
      <c r="D137" s="90"/>
      <c r="E137" s="91"/>
      <c r="F137" s="70"/>
      <c r="G137" s="92"/>
      <c r="H137" s="28"/>
      <c r="I137" s="28"/>
    </row>
    <row r="138" spans="2:13" ht="30" hidden="1" customHeight="1" x14ac:dyDescent="0.25">
      <c r="B138" s="89"/>
      <c r="C138" s="90"/>
      <c r="D138" s="90"/>
      <c r="E138" s="91"/>
      <c r="F138" s="70"/>
      <c r="G138" s="92"/>
      <c r="H138" s="28"/>
      <c r="I138" s="28"/>
    </row>
    <row r="139" spans="2:13" ht="30" hidden="1" customHeight="1" x14ac:dyDescent="0.25">
      <c r="B139" s="89"/>
      <c r="C139" s="90"/>
      <c r="D139" s="90"/>
      <c r="E139" s="91"/>
      <c r="F139" s="70"/>
      <c r="G139" s="92"/>
      <c r="H139" s="28"/>
      <c r="I139" s="28"/>
    </row>
    <row r="140" spans="2:13" ht="30" hidden="1" customHeight="1" x14ac:dyDescent="0.25">
      <c r="E140" s="25"/>
      <c r="F140" s="25"/>
      <c r="G140" s="63"/>
      <c r="H140" s="28"/>
      <c r="I140" s="28"/>
    </row>
    <row r="141" spans="2:13" ht="15" hidden="1" customHeight="1" x14ac:dyDescent="0.25"/>
    <row r="142" spans="2:13" ht="15" hidden="1" customHeight="1" x14ac:dyDescent="0.25"/>
  </sheetData>
  <sheetProtection sheet="1" objects="1" scenarios="1"/>
  <dataConsolidate/>
  <mergeCells count="17">
    <mergeCell ref="C103:H103"/>
    <mergeCell ref="C112:H112"/>
    <mergeCell ref="C120:H120"/>
    <mergeCell ref="D57:F57"/>
    <mergeCell ref="B4:I4"/>
    <mergeCell ref="C99:H99"/>
    <mergeCell ref="B101:I101"/>
    <mergeCell ref="B102:I102"/>
    <mergeCell ref="B3:I3"/>
    <mergeCell ref="B52:I52"/>
    <mergeCell ref="B53:I53"/>
    <mergeCell ref="B6:I6"/>
    <mergeCell ref="B7:I7"/>
    <mergeCell ref="B19:I19"/>
    <mergeCell ref="B20:I20"/>
    <mergeCell ref="B44:I44"/>
    <mergeCell ref="B45:I4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96897F-A31C-4CC1-827B-810ABA378266}">
          <x14:formula1>
            <xm:f>'Information till rullistor'!$D$3:$D$4</xm:f>
          </x14:formula1>
          <xm:sqref>F10:F17 F48:F50 E128:E139 F23:F42 F115:F118 F60:F98 F106:F110 F123:F125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99125-3650-4338-A27A-3C478FA8FB74}">
  <sheetPr codeName="Sheet6"/>
  <dimension ref="A1:M76"/>
  <sheetViews>
    <sheetView showGridLines="0" topLeftCell="A4" zoomScale="90" zoomScaleNormal="90" workbookViewId="0">
      <selection activeCell="D40" sqref="D40"/>
    </sheetView>
  </sheetViews>
  <sheetFormatPr defaultColWidth="0" defaultRowHeight="0" customHeight="1" zeroHeight="1" x14ac:dyDescent="0.25"/>
  <cols>
    <col min="1" max="1" width="8.7109375" customWidth="1"/>
    <col min="2" max="9" width="25.7109375" customWidth="1"/>
    <col min="10" max="10" width="8.7109375" customWidth="1"/>
    <col min="11" max="11" width="9.140625" hidden="1" customWidth="1"/>
    <col min="12" max="14" width="12.42578125" hidden="1" customWidth="1"/>
    <col min="15" max="16384" width="12.42578125" hidden="1"/>
  </cols>
  <sheetData>
    <row r="1" spans="1:9" ht="15" hidden="1" x14ac:dyDescent="0.25"/>
    <row r="2" spans="1:9" ht="33" customHeight="1" x14ac:dyDescent="0.25">
      <c r="B2" s="24"/>
    </row>
    <row r="3" spans="1:9" ht="33" customHeight="1" x14ac:dyDescent="0.25">
      <c r="B3" s="276" t="s">
        <v>154</v>
      </c>
      <c r="C3" s="276"/>
      <c r="D3" s="276"/>
      <c r="E3" s="276"/>
      <c r="F3" s="276"/>
      <c r="G3" s="276"/>
      <c r="H3" s="276"/>
      <c r="I3" s="276"/>
    </row>
    <row r="4" spans="1:9" ht="33" customHeight="1" x14ac:dyDescent="0.25">
      <c r="B4" s="330" t="s">
        <v>155</v>
      </c>
      <c r="C4" s="330"/>
      <c r="D4" s="330"/>
      <c r="E4" s="330"/>
      <c r="F4" s="330"/>
      <c r="G4" s="330"/>
      <c r="H4" s="330"/>
      <c r="I4" s="330"/>
    </row>
    <row r="5" spans="1:9" ht="33" customHeight="1" x14ac:dyDescent="0.25">
      <c r="B5" s="77"/>
      <c r="C5" s="77"/>
      <c r="D5" s="77"/>
      <c r="E5" s="77"/>
      <c r="F5" s="77"/>
      <c r="G5" s="77"/>
      <c r="H5" s="77"/>
      <c r="I5" s="77"/>
    </row>
    <row r="6" spans="1:9" ht="33" customHeight="1" x14ac:dyDescent="0.25">
      <c r="B6" s="339" t="s">
        <v>156</v>
      </c>
      <c r="C6" s="339"/>
      <c r="D6" s="339"/>
      <c r="E6" s="339"/>
      <c r="F6" s="339"/>
      <c r="G6" s="339"/>
      <c r="H6" s="339"/>
      <c r="I6" s="339"/>
    </row>
    <row r="7" spans="1:9" ht="33" customHeight="1" x14ac:dyDescent="0.25">
      <c r="B7" s="77"/>
      <c r="C7" s="77"/>
      <c r="D7" s="77"/>
      <c r="E7" s="77"/>
      <c r="F7" s="77"/>
      <c r="G7" s="77"/>
      <c r="H7" s="77"/>
      <c r="I7" s="77"/>
    </row>
    <row r="8" spans="1:9" ht="45" customHeight="1" x14ac:dyDescent="0.25">
      <c r="B8" s="77"/>
      <c r="C8" s="114" t="s">
        <v>314</v>
      </c>
      <c r="D8" s="114" t="s">
        <v>315</v>
      </c>
      <c r="E8" s="114" t="s">
        <v>451</v>
      </c>
      <c r="F8" s="80" t="s">
        <v>316</v>
      </c>
      <c r="H8" s="80" t="s">
        <v>312</v>
      </c>
      <c r="I8" s="77"/>
    </row>
    <row r="9" spans="1:9" ht="33" customHeight="1" x14ac:dyDescent="0.25">
      <c r="B9" s="77"/>
      <c r="C9" s="177">
        <f>SUM(D9:F9)</f>
        <v>0</v>
      </c>
      <c r="D9" s="177">
        <f>(SUM(H15:H19))/1000</f>
        <v>0</v>
      </c>
      <c r="E9" s="177">
        <f>((SUM(H26:H29)+SUM(H32:H33))/1000)</f>
        <v>0</v>
      </c>
      <c r="F9" s="112">
        <f>(SUM(H39:H40))/1000</f>
        <v>0</v>
      </c>
      <c r="H9" s="112" t="str">
        <f>IFERROR((ABS(C9)/'Resultatpresentation i tabell'!L14)*100,"Lägg in data i indataflikarna")</f>
        <v>Lägg in data i indataflikarna</v>
      </c>
      <c r="I9" s="77"/>
    </row>
    <row r="10" spans="1:9" ht="33" customHeight="1" x14ac:dyDescent="0.25">
      <c r="B10" s="66"/>
      <c r="C10" s="66"/>
      <c r="D10" s="66"/>
      <c r="E10" s="66"/>
      <c r="F10" s="66"/>
      <c r="G10" s="66"/>
      <c r="H10" s="66"/>
      <c r="I10" s="66"/>
    </row>
    <row r="11" spans="1:9" ht="33" customHeight="1" x14ac:dyDescent="0.25">
      <c r="B11" s="282" t="s">
        <v>313</v>
      </c>
      <c r="C11" s="282"/>
      <c r="D11" s="282"/>
      <c r="E11" s="282"/>
      <c r="F11" s="282"/>
      <c r="G11" s="282"/>
      <c r="H11" s="282"/>
      <c r="I11" s="282"/>
    </row>
    <row r="12" spans="1:9" ht="33" customHeight="1" x14ac:dyDescent="0.25">
      <c r="A12" s="23"/>
      <c r="B12" s="281" t="s">
        <v>358</v>
      </c>
      <c r="C12" s="281"/>
      <c r="D12" s="281"/>
      <c r="E12" s="281"/>
      <c r="F12" s="281"/>
      <c r="G12" s="281"/>
      <c r="H12" s="281"/>
      <c r="I12" s="281"/>
    </row>
    <row r="13" spans="1:9" ht="30" customHeight="1" x14ac:dyDescent="0.25">
      <c r="B13" s="64"/>
      <c r="C13" s="64"/>
      <c r="D13" s="64"/>
      <c r="E13" s="53"/>
      <c r="F13" s="53"/>
      <c r="G13" s="64"/>
      <c r="H13" s="64"/>
      <c r="I13" s="64"/>
    </row>
    <row r="14" spans="1:9" ht="60" customHeight="1" x14ac:dyDescent="0.25">
      <c r="C14" s="113" t="s">
        <v>157</v>
      </c>
      <c r="D14" s="76" t="s">
        <v>320</v>
      </c>
      <c r="E14" s="115" t="s">
        <v>321</v>
      </c>
      <c r="F14" s="55" t="s">
        <v>158</v>
      </c>
      <c r="G14" s="76" t="s">
        <v>159</v>
      </c>
      <c r="H14" s="55" t="s">
        <v>160</v>
      </c>
    </row>
    <row r="15" spans="1:9" ht="30" customHeight="1" x14ac:dyDescent="0.25">
      <c r="C15" s="139" t="s">
        <v>319</v>
      </c>
      <c r="D15" s="153"/>
      <c r="E15" s="166">
        <v>338</v>
      </c>
      <c r="F15" s="109" t="s">
        <v>392</v>
      </c>
      <c r="G15" s="137">
        <v>1</v>
      </c>
      <c r="H15" s="87">
        <f>-D15*E15*G15</f>
        <v>0</v>
      </c>
      <c r="I15" s="104"/>
    </row>
    <row r="16" spans="1:9" ht="30" customHeight="1" x14ac:dyDescent="0.25">
      <c r="C16" s="139" t="s">
        <v>161</v>
      </c>
      <c r="D16" s="153"/>
      <c r="E16" s="166">
        <f>'Lägg in data här'!G15</f>
        <v>45</v>
      </c>
      <c r="F16" s="109" t="s">
        <v>499</v>
      </c>
      <c r="G16" s="137">
        <v>1</v>
      </c>
      <c r="H16" s="87">
        <f>-D16*E16*G16</f>
        <v>0</v>
      </c>
      <c r="I16" s="338"/>
    </row>
    <row r="17" spans="2:13" ht="30" customHeight="1" x14ac:dyDescent="0.25">
      <c r="C17" s="139" t="s">
        <v>162</v>
      </c>
      <c r="D17" s="153"/>
      <c r="E17" s="150"/>
      <c r="F17" s="109" t="s">
        <v>163</v>
      </c>
      <c r="G17" s="137">
        <v>1</v>
      </c>
      <c r="H17" s="87">
        <f>-D17*E17*G17</f>
        <v>0</v>
      </c>
      <c r="I17" s="338"/>
    </row>
    <row r="18" spans="2:13" ht="30" customHeight="1" x14ac:dyDescent="0.25">
      <c r="C18" s="139" t="s">
        <v>322</v>
      </c>
      <c r="D18" s="87">
        <f>('Lägg in data här'!F64*(Referenser!C94)+'Lägg in data här'!F62*(Referenser!C95))/3600*Referenser!C96</f>
        <v>0</v>
      </c>
      <c r="E18" s="150"/>
      <c r="F18" s="109" t="s">
        <v>163</v>
      </c>
      <c r="G18" s="137">
        <v>1</v>
      </c>
      <c r="H18" s="87">
        <f>-D18*E18*G18</f>
        <v>0</v>
      </c>
      <c r="I18" s="338"/>
    </row>
    <row r="19" spans="2:13" ht="30" customHeight="1" x14ac:dyDescent="0.25">
      <c r="C19" s="151" t="s">
        <v>72</v>
      </c>
      <c r="D19" s="153"/>
      <c r="E19" s="174"/>
      <c r="F19" s="152"/>
      <c r="G19" s="149"/>
      <c r="H19" s="87">
        <f>-D19*E19*G19</f>
        <v>0</v>
      </c>
      <c r="I19" s="338"/>
    </row>
    <row r="20" spans="2:13" ht="30" customHeight="1" x14ac:dyDescent="0.25">
      <c r="C20" s="340" t="s">
        <v>348</v>
      </c>
      <c r="D20" s="341"/>
      <c r="E20" s="341"/>
      <c r="F20" s="341"/>
      <c r="G20" s="341"/>
      <c r="H20" s="341"/>
    </row>
    <row r="21" spans="2:13" ht="30" customHeight="1" x14ac:dyDescent="0.25">
      <c r="E21" s="25"/>
      <c r="F21" s="25"/>
      <c r="G21" s="63"/>
      <c r="H21" s="28"/>
      <c r="I21" s="28"/>
      <c r="K21" s="63"/>
      <c r="L21" s="70"/>
      <c r="M21" s="70"/>
    </row>
    <row r="22" spans="2:13" ht="30" customHeight="1" x14ac:dyDescent="0.25">
      <c r="B22" s="282" t="s">
        <v>445</v>
      </c>
      <c r="C22" s="282"/>
      <c r="D22" s="282"/>
      <c r="E22" s="282"/>
      <c r="F22" s="282"/>
      <c r="G22" s="282"/>
      <c r="H22" s="282"/>
      <c r="I22" s="282"/>
      <c r="K22" s="63"/>
      <c r="L22" s="70"/>
      <c r="M22" s="70"/>
    </row>
    <row r="23" spans="2:13" ht="30" customHeight="1" x14ac:dyDescent="0.25">
      <c r="B23" s="281" t="s">
        <v>446</v>
      </c>
      <c r="C23" s="281"/>
      <c r="D23" s="281"/>
      <c r="E23" s="281"/>
      <c r="F23" s="281"/>
      <c r="G23" s="281"/>
      <c r="H23" s="281"/>
      <c r="I23" s="281"/>
      <c r="K23" s="63"/>
      <c r="L23" s="70"/>
      <c r="M23" s="70"/>
    </row>
    <row r="24" spans="2:13" ht="30" customHeight="1" x14ac:dyDescent="0.25">
      <c r="B24" s="64"/>
      <c r="C24" s="65"/>
      <c r="D24" s="65"/>
      <c r="E24" s="65"/>
      <c r="F24" s="65"/>
      <c r="G24" s="65"/>
      <c r="H24" s="65"/>
      <c r="I24" s="64"/>
      <c r="K24" s="63"/>
      <c r="L24" s="70"/>
      <c r="M24" s="70"/>
    </row>
    <row r="25" spans="2:13" ht="60" customHeight="1" x14ac:dyDescent="0.25">
      <c r="C25" s="54" t="s">
        <v>157</v>
      </c>
      <c r="D25" s="55" t="s">
        <v>165</v>
      </c>
      <c r="E25" s="115" t="s">
        <v>166</v>
      </c>
      <c r="F25" s="55" t="s">
        <v>158</v>
      </c>
      <c r="G25" s="76" t="s">
        <v>159</v>
      </c>
      <c r="H25" s="55" t="s">
        <v>160</v>
      </c>
      <c r="I25" s="68"/>
    </row>
    <row r="26" spans="2:13" ht="30" customHeight="1" x14ac:dyDescent="0.25">
      <c r="C26" s="58" t="s">
        <v>96</v>
      </c>
      <c r="D26" s="140">
        <f>'Lägg in data här'!F66</f>
        <v>0</v>
      </c>
      <c r="E26" s="112">
        <v>1000</v>
      </c>
      <c r="F26" s="101" t="s">
        <v>167</v>
      </c>
      <c r="G26" s="116">
        <v>0.2</v>
      </c>
      <c r="H26" s="140">
        <f>-D26*E26*G26</f>
        <v>0</v>
      </c>
      <c r="I26" s="75" t="s">
        <v>168</v>
      </c>
    </row>
    <row r="27" spans="2:13" ht="30" customHeight="1" x14ac:dyDescent="0.25">
      <c r="C27" s="58" t="s">
        <v>169</v>
      </c>
      <c r="D27" s="143"/>
      <c r="E27" s="112">
        <v>3600</v>
      </c>
      <c r="F27" s="101" t="s">
        <v>170</v>
      </c>
      <c r="G27" s="116">
        <v>0.3</v>
      </c>
      <c r="H27" s="140">
        <f>-D27*E27*G27</f>
        <v>0</v>
      </c>
      <c r="I27" s="28"/>
    </row>
    <row r="28" spans="2:13" ht="30" customHeight="1" x14ac:dyDescent="0.25">
      <c r="C28" s="58" t="s">
        <v>171</v>
      </c>
      <c r="D28" s="143"/>
      <c r="E28" s="112">
        <v>1000</v>
      </c>
      <c r="F28" s="101" t="s">
        <v>447</v>
      </c>
      <c r="G28" s="116">
        <v>0.7</v>
      </c>
      <c r="H28" s="140">
        <f>-D28*E28*G28</f>
        <v>0</v>
      </c>
      <c r="I28" s="28"/>
    </row>
    <row r="29" spans="2:13" ht="30" customHeight="1" x14ac:dyDescent="0.25">
      <c r="C29" s="145" t="s">
        <v>72</v>
      </c>
      <c r="D29" s="143"/>
      <c r="E29" s="153"/>
      <c r="F29" s="153"/>
      <c r="G29" s="153"/>
      <c r="H29" s="140">
        <f>-D29*E29*G29</f>
        <v>0</v>
      </c>
      <c r="I29" s="28"/>
    </row>
    <row r="30" spans="2:13" ht="30" customHeight="1" x14ac:dyDescent="0.25">
      <c r="I30" s="28"/>
    </row>
    <row r="31" spans="2:13" ht="60" customHeight="1" x14ac:dyDescent="0.25">
      <c r="C31" s="54" t="s">
        <v>157</v>
      </c>
      <c r="D31" s="78" t="s">
        <v>449</v>
      </c>
      <c r="E31" s="78" t="s">
        <v>448</v>
      </c>
      <c r="F31" s="55" t="s">
        <v>158</v>
      </c>
      <c r="G31" s="78" t="s">
        <v>324</v>
      </c>
      <c r="H31" s="55" t="s">
        <v>160</v>
      </c>
      <c r="I31" s="28"/>
    </row>
    <row r="32" spans="2:13" ht="45" customHeight="1" x14ac:dyDescent="0.25">
      <c r="C32" s="101" t="s">
        <v>323</v>
      </c>
      <c r="D32" s="171"/>
      <c r="E32" s="112">
        <f>'Lägg in data här'!F67+'Lägg in data här'!F66+'Lägg in data här'!F65</f>
        <v>0</v>
      </c>
      <c r="F32" s="101" t="s">
        <v>325</v>
      </c>
      <c r="G32" s="101">
        <v>0.05</v>
      </c>
      <c r="H32" s="112">
        <f>-E32*('Lägg in data här'!H98/100)*(D32/100)*G32*3.67*1000</f>
        <v>0</v>
      </c>
      <c r="I32" s="28"/>
    </row>
    <row r="33" spans="2:13" ht="45" customHeight="1" x14ac:dyDescent="0.25">
      <c r="C33" s="101" t="s">
        <v>450</v>
      </c>
      <c r="D33" s="171"/>
      <c r="E33" s="171"/>
      <c r="F33" s="101" t="s">
        <v>325</v>
      </c>
      <c r="G33" s="101">
        <v>0.9</v>
      </c>
      <c r="H33" s="112">
        <f>-E33*(D33/100)*G33*3.67*1000</f>
        <v>0</v>
      </c>
      <c r="I33" s="28"/>
    </row>
    <row r="34" spans="2:13" ht="30" customHeight="1" x14ac:dyDescent="0.25">
      <c r="I34" s="28"/>
    </row>
    <row r="35" spans="2:13" ht="30" customHeight="1" x14ac:dyDescent="0.25">
      <c r="B35" s="282" t="s">
        <v>172</v>
      </c>
      <c r="C35" s="282"/>
      <c r="D35" s="282"/>
      <c r="E35" s="282"/>
      <c r="F35" s="282"/>
      <c r="G35" s="282"/>
      <c r="H35" s="282"/>
      <c r="I35" s="282"/>
      <c r="K35" s="63"/>
      <c r="L35" s="70"/>
      <c r="M35" s="70"/>
    </row>
    <row r="36" spans="2:13" ht="30" customHeight="1" x14ac:dyDescent="0.25">
      <c r="B36" s="281" t="s">
        <v>173</v>
      </c>
      <c r="C36" s="281"/>
      <c r="D36" s="281"/>
      <c r="E36" s="281"/>
      <c r="F36" s="281"/>
      <c r="G36" s="281"/>
      <c r="H36" s="281"/>
      <c r="I36" s="281"/>
      <c r="K36" s="63"/>
      <c r="L36" s="70"/>
      <c r="M36" s="70"/>
    </row>
    <row r="37" spans="2:13" ht="30" customHeight="1" x14ac:dyDescent="0.25">
      <c r="B37" s="64"/>
      <c r="C37" s="65"/>
      <c r="D37" s="65"/>
      <c r="E37" s="65"/>
      <c r="F37" s="65"/>
      <c r="G37" s="65"/>
      <c r="H37" s="65"/>
      <c r="I37" s="64"/>
      <c r="K37" s="63"/>
      <c r="L37" s="70"/>
      <c r="M37" s="70"/>
    </row>
    <row r="38" spans="2:13" ht="60" customHeight="1" x14ac:dyDescent="0.25">
      <c r="C38" s="55" t="s">
        <v>174</v>
      </c>
      <c r="D38" s="55" t="s">
        <v>165</v>
      </c>
      <c r="E38" s="115" t="s">
        <v>166</v>
      </c>
      <c r="F38" s="55" t="s">
        <v>158</v>
      </c>
      <c r="G38" s="76" t="s">
        <v>159</v>
      </c>
      <c r="H38" s="55" t="s">
        <v>160</v>
      </c>
      <c r="I38" s="68"/>
    </row>
    <row r="39" spans="2:13" ht="30" customHeight="1" x14ac:dyDescent="0.25">
      <c r="C39" s="88" t="s">
        <v>311</v>
      </c>
      <c r="D39" s="140">
        <f>'Lägg in data här'!F70</f>
        <v>0</v>
      </c>
      <c r="E39" s="140">
        <f>'Lägg in data här för kemikalier'!G73</f>
        <v>44</v>
      </c>
      <c r="F39" s="101" t="s">
        <v>175</v>
      </c>
      <c r="G39" s="87">
        <v>1</v>
      </c>
      <c r="H39" s="140">
        <f>-D39*E39*G39</f>
        <v>0</v>
      </c>
      <c r="I39" s="28"/>
    </row>
    <row r="40" spans="2:13" ht="30" customHeight="1" x14ac:dyDescent="0.25">
      <c r="C40" s="145" t="s">
        <v>72</v>
      </c>
      <c r="D40" s="143"/>
      <c r="E40" s="143"/>
      <c r="F40" s="147"/>
      <c r="G40" s="153"/>
      <c r="H40" s="140">
        <f>-D40*E40*G40</f>
        <v>0</v>
      </c>
      <c r="I40" s="28"/>
    </row>
    <row r="41" spans="2:13" ht="30" customHeight="1" x14ac:dyDescent="0.25">
      <c r="H41" s="28"/>
      <c r="I41" s="28"/>
    </row>
    <row r="42" spans="2:13" ht="30" customHeight="1" x14ac:dyDescent="0.25">
      <c r="H42" s="28"/>
      <c r="I42" s="28"/>
    </row>
    <row r="43" spans="2:13" ht="30" customHeight="1" x14ac:dyDescent="0.25">
      <c r="C43" s="117"/>
    </row>
    <row r="44" spans="2:13" ht="30" hidden="1" customHeight="1" x14ac:dyDescent="0.25">
      <c r="C44" s="117"/>
    </row>
    <row r="45" spans="2:13" ht="30" hidden="1" customHeight="1" x14ac:dyDescent="0.25">
      <c r="B45" s="117"/>
      <c r="I45" s="28"/>
    </row>
    <row r="46" spans="2:13" ht="30" hidden="1" customHeight="1" x14ac:dyDescent="0.25">
      <c r="B46" s="117"/>
      <c r="I46" s="28"/>
    </row>
    <row r="47" spans="2:13" ht="30" hidden="1" customHeight="1" x14ac:dyDescent="0.25">
      <c r="B47" s="117"/>
      <c r="I47" s="28"/>
    </row>
    <row r="48" spans="2:13" ht="30" hidden="1" customHeight="1" x14ac:dyDescent="0.25">
      <c r="B48" s="117"/>
      <c r="I48" s="28"/>
    </row>
    <row r="49" spans="2:13" ht="30" hidden="1" customHeight="1" x14ac:dyDescent="0.25">
      <c r="B49" s="117"/>
      <c r="I49" s="28"/>
    </row>
    <row r="50" spans="2:13" ht="30" hidden="1" customHeight="1" x14ac:dyDescent="0.25">
      <c r="B50" s="117"/>
      <c r="I50" s="28"/>
    </row>
    <row r="51" spans="2:13" ht="30" hidden="1" customHeight="1" x14ac:dyDescent="0.25">
      <c r="B51" s="117"/>
      <c r="I51" s="28"/>
    </row>
    <row r="52" spans="2:13" ht="30" hidden="1" customHeight="1" x14ac:dyDescent="0.25">
      <c r="B52" s="117"/>
      <c r="I52" s="28"/>
    </row>
    <row r="53" spans="2:13" ht="30" hidden="1" customHeight="1" x14ac:dyDescent="0.25">
      <c r="B53" s="117"/>
      <c r="I53" s="28"/>
    </row>
    <row r="54" spans="2:13" ht="30" hidden="1" customHeight="1" x14ac:dyDescent="0.25">
      <c r="B54" s="117"/>
      <c r="I54" s="28"/>
    </row>
    <row r="55" spans="2:13" ht="30" hidden="1" customHeight="1" x14ac:dyDescent="0.25">
      <c r="B55" s="117"/>
      <c r="I55" s="28"/>
    </row>
    <row r="56" spans="2:13" ht="30" hidden="1" customHeight="1" x14ac:dyDescent="0.25">
      <c r="B56" s="117"/>
      <c r="I56" s="28"/>
    </row>
    <row r="57" spans="2:13" ht="30" hidden="1" customHeight="1" x14ac:dyDescent="0.25">
      <c r="B57" s="117"/>
      <c r="I57" s="28"/>
    </row>
    <row r="58" spans="2:13" ht="30" hidden="1" customHeight="1" x14ac:dyDescent="0.25">
      <c r="B58" s="117"/>
      <c r="I58" s="28"/>
    </row>
    <row r="59" spans="2:13" ht="30" hidden="1" customHeight="1" x14ac:dyDescent="0.25">
      <c r="B59" s="117"/>
      <c r="I59" s="28"/>
    </row>
    <row r="60" spans="2:13" ht="30" hidden="1" customHeight="1" x14ac:dyDescent="0.25">
      <c r="I60" s="28"/>
    </row>
    <row r="61" spans="2:13" ht="30" hidden="1" customHeight="1" x14ac:dyDescent="0.25">
      <c r="B61" s="89"/>
      <c r="C61" s="28"/>
      <c r="D61" s="28"/>
      <c r="E61" s="63"/>
      <c r="F61" s="70"/>
      <c r="G61" s="92"/>
      <c r="H61" s="28"/>
      <c r="I61" s="28"/>
      <c r="K61" s="63"/>
      <c r="L61" s="70"/>
      <c r="M61" s="70"/>
    </row>
    <row r="62" spans="2:13" ht="30" hidden="1" customHeight="1" x14ac:dyDescent="0.25">
      <c r="B62" s="89"/>
      <c r="C62" s="90"/>
      <c r="D62" s="90"/>
      <c r="E62" s="91"/>
      <c r="F62" s="70"/>
      <c r="G62" s="92"/>
      <c r="H62" s="28"/>
      <c r="I62" s="28"/>
      <c r="K62" s="63" t="e">
        <f>'Nyttor från biprodukter'!#REF!</f>
        <v>#REF!</v>
      </c>
      <c r="L62" s="70" t="e">
        <f>'Nyttor från biprodukter'!#REF!*'Nyttor från biprodukter'!#REF!</f>
        <v>#REF!</v>
      </c>
      <c r="M62" s="70" t="e">
        <f>'Nyttor från biprodukter'!#REF!*'Nyttor från biprodukter'!#REF!</f>
        <v>#REF!</v>
      </c>
    </row>
    <row r="63" spans="2:13" ht="30" hidden="1" customHeight="1" x14ac:dyDescent="0.25">
      <c r="B63" s="89"/>
      <c r="C63" s="90"/>
      <c r="D63" s="90"/>
      <c r="E63" s="91"/>
      <c r="F63" s="70"/>
      <c r="G63" s="92"/>
      <c r="H63" s="28"/>
      <c r="I63" s="28"/>
      <c r="K63" s="63" t="e">
        <f>'Nyttor från biprodukter'!#REF!</f>
        <v>#REF!</v>
      </c>
      <c r="L63" s="70" t="e">
        <f>'Nyttor från biprodukter'!#REF!*'Nyttor från biprodukter'!#REF!</f>
        <v>#REF!</v>
      </c>
      <c r="M63" s="70" t="e">
        <f>'Nyttor från biprodukter'!#REF!*'Nyttor från biprodukter'!#REF!</f>
        <v>#REF!</v>
      </c>
    </row>
    <row r="64" spans="2:13" ht="30" hidden="1" customHeight="1" x14ac:dyDescent="0.25">
      <c r="B64" s="89"/>
      <c r="C64" s="90"/>
      <c r="D64" s="90"/>
      <c r="E64" s="91"/>
      <c r="F64" s="70"/>
      <c r="G64" s="92"/>
      <c r="H64" s="28"/>
      <c r="I64" s="28"/>
      <c r="K64" s="63" t="e">
        <f>'Nyttor från biprodukter'!#REF!</f>
        <v>#REF!</v>
      </c>
      <c r="L64" s="70" t="e">
        <f>'Nyttor från biprodukter'!#REF!*'Nyttor från biprodukter'!#REF!</f>
        <v>#REF!</v>
      </c>
      <c r="M64" s="70" t="e">
        <f>'Nyttor från biprodukter'!#REF!*'Nyttor från biprodukter'!#REF!</f>
        <v>#REF!</v>
      </c>
    </row>
    <row r="65" spans="2:13" ht="30" hidden="1" customHeight="1" x14ac:dyDescent="0.25">
      <c r="B65" s="89"/>
      <c r="C65" s="90"/>
      <c r="D65" s="90"/>
      <c r="E65" s="91"/>
      <c r="F65" s="70"/>
      <c r="G65" s="92"/>
      <c r="H65" s="28"/>
      <c r="I65" s="28"/>
      <c r="K65" s="63" t="e">
        <f>'Nyttor från biprodukter'!#REF!</f>
        <v>#REF!</v>
      </c>
      <c r="L65" s="70" t="e">
        <f>'Nyttor från biprodukter'!#REF!*'Nyttor från biprodukter'!#REF!</f>
        <v>#REF!</v>
      </c>
      <c r="M65" s="70" t="e">
        <f>'Nyttor från biprodukter'!#REF!*'Nyttor från biprodukter'!#REF!</f>
        <v>#REF!</v>
      </c>
    </row>
    <row r="66" spans="2:13" ht="30" hidden="1" customHeight="1" x14ac:dyDescent="0.25">
      <c r="B66" s="89"/>
      <c r="C66" s="90"/>
      <c r="D66" s="90"/>
      <c r="E66" s="91"/>
      <c r="F66" s="70"/>
      <c r="G66" s="92"/>
      <c r="H66" s="28"/>
      <c r="I66" s="28"/>
      <c r="K66" s="63" t="e">
        <f>'Nyttor från biprodukter'!#REF!</f>
        <v>#REF!</v>
      </c>
      <c r="L66" s="70" t="e">
        <f>'Nyttor från biprodukter'!#REF!*'Nyttor från biprodukter'!#REF!</f>
        <v>#REF!</v>
      </c>
      <c r="M66" s="70" t="e">
        <f>'Nyttor från biprodukter'!#REF!*'Nyttor från biprodukter'!#REF!</f>
        <v>#REF!</v>
      </c>
    </row>
    <row r="67" spans="2:13" ht="30" hidden="1" customHeight="1" x14ac:dyDescent="0.25">
      <c r="B67" s="89"/>
      <c r="C67" s="90"/>
      <c r="D67" s="90"/>
      <c r="E67" s="91"/>
      <c r="F67" s="70"/>
      <c r="G67" s="92"/>
      <c r="H67" s="28"/>
      <c r="I67" s="28"/>
    </row>
    <row r="68" spans="2:13" ht="30" hidden="1" customHeight="1" x14ac:dyDescent="0.25">
      <c r="B68" s="89"/>
      <c r="C68" s="90"/>
      <c r="D68" s="90"/>
      <c r="E68" s="91"/>
      <c r="F68" s="70"/>
      <c r="G68" s="92"/>
      <c r="H68" s="28"/>
      <c r="I68" s="28"/>
    </row>
    <row r="69" spans="2:13" ht="30" hidden="1" customHeight="1" x14ac:dyDescent="0.25">
      <c r="B69" s="89"/>
      <c r="C69" s="90"/>
      <c r="D69" s="90"/>
      <c r="E69" s="91"/>
      <c r="F69" s="70"/>
      <c r="G69" s="92"/>
      <c r="H69" s="28"/>
      <c r="I69" s="28"/>
    </row>
    <row r="70" spans="2:13" ht="30" hidden="1" customHeight="1" x14ac:dyDescent="0.25">
      <c r="B70" s="89"/>
      <c r="C70" s="90"/>
      <c r="D70" s="90"/>
      <c r="E70" s="91"/>
      <c r="F70" s="70"/>
      <c r="G70" s="92"/>
      <c r="H70" s="28"/>
      <c r="I70" s="28"/>
    </row>
    <row r="71" spans="2:13" ht="30" hidden="1" customHeight="1" x14ac:dyDescent="0.25">
      <c r="B71" s="89"/>
      <c r="C71" s="90"/>
      <c r="D71" s="90"/>
      <c r="E71" s="91"/>
      <c r="F71" s="70"/>
      <c r="G71" s="92"/>
      <c r="H71" s="28"/>
      <c r="I71" s="28"/>
    </row>
    <row r="72" spans="2:13" ht="30" hidden="1" customHeight="1" x14ac:dyDescent="0.25">
      <c r="B72" s="89"/>
      <c r="C72" s="90"/>
      <c r="D72" s="90"/>
      <c r="E72" s="91"/>
      <c r="F72" s="70"/>
      <c r="G72" s="92"/>
      <c r="H72" s="28"/>
      <c r="I72" s="28"/>
    </row>
    <row r="73" spans="2:13" ht="30" hidden="1" customHeight="1" x14ac:dyDescent="0.25">
      <c r="B73" s="89"/>
      <c r="C73" s="90"/>
      <c r="D73" s="90"/>
      <c r="E73" s="91"/>
      <c r="F73" s="70"/>
      <c r="G73" s="92"/>
      <c r="H73" s="28"/>
      <c r="I73" s="28"/>
    </row>
    <row r="74" spans="2:13" ht="30" hidden="1" customHeight="1" x14ac:dyDescent="0.25">
      <c r="E74" s="25"/>
      <c r="F74" s="25"/>
      <c r="G74" s="63"/>
      <c r="H74" s="28"/>
      <c r="I74" s="28"/>
    </row>
    <row r="75" spans="2:13" ht="15" hidden="1" customHeight="1" x14ac:dyDescent="0.25"/>
    <row r="76" spans="2:13" ht="15" hidden="1" customHeight="1" x14ac:dyDescent="0.25"/>
  </sheetData>
  <sheetProtection sheet="1" objects="1" scenarios="1"/>
  <dataConsolidate/>
  <mergeCells count="12">
    <mergeCell ref="B35:I35"/>
    <mergeCell ref="B36:I36"/>
    <mergeCell ref="I16:I17"/>
    <mergeCell ref="B3:I3"/>
    <mergeCell ref="B4:I4"/>
    <mergeCell ref="B11:I11"/>
    <mergeCell ref="B12:I12"/>
    <mergeCell ref="B22:I22"/>
    <mergeCell ref="B23:I23"/>
    <mergeCell ref="B6:I6"/>
    <mergeCell ref="C20:H20"/>
    <mergeCell ref="I18:I1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BCDD6E-67D9-4369-A943-C1F587E2FA9D}">
          <x14:formula1>
            <xm:f>'Information till rullistor'!$D$3:$D$4</xm:f>
          </x14:formula1>
          <xm:sqref>E21 E45:E73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D1170-E7E6-4C7E-8889-264B976E2939}">
  <sheetPr codeName="Sheet7"/>
  <dimension ref="A1:T168"/>
  <sheetViews>
    <sheetView showGridLines="0" topLeftCell="A100" zoomScale="70" zoomScaleNormal="70" workbookViewId="0">
      <selection activeCell="K18" sqref="K18"/>
    </sheetView>
  </sheetViews>
  <sheetFormatPr defaultColWidth="0" defaultRowHeight="0" customHeight="1" zeroHeight="1" x14ac:dyDescent="0.25"/>
  <cols>
    <col min="1" max="1" width="8.7109375" customWidth="1"/>
    <col min="2" max="12" width="25.7109375" customWidth="1"/>
    <col min="13" max="13" width="8.7109375" customWidth="1"/>
    <col min="14" max="20" width="0" hidden="1" customWidth="1"/>
    <col min="21" max="16384" width="8.7109375" hidden="1"/>
  </cols>
  <sheetData>
    <row r="1" spans="2:13" ht="15" hidden="1" x14ac:dyDescent="0.25"/>
    <row r="2" spans="2:13" ht="33" customHeight="1" x14ac:dyDescent="0.25">
      <c r="C2" s="24"/>
    </row>
    <row r="3" spans="2:13" ht="33" customHeight="1" x14ac:dyDescent="0.25">
      <c r="C3" s="348" t="s">
        <v>176</v>
      </c>
      <c r="D3" s="348"/>
      <c r="E3" s="348"/>
      <c r="F3" s="348"/>
      <c r="G3" s="348"/>
      <c r="H3" s="348"/>
      <c r="I3" s="348"/>
      <c r="J3" s="348"/>
      <c r="K3" s="93"/>
      <c r="L3" s="93"/>
    </row>
    <row r="4" spans="2:13" ht="33" customHeight="1" x14ac:dyDescent="0.25">
      <c r="C4" s="93"/>
      <c r="D4" s="93"/>
      <c r="E4" s="93"/>
      <c r="F4" s="93"/>
      <c r="G4" s="93"/>
      <c r="H4" s="93"/>
      <c r="I4" s="93"/>
      <c r="J4" s="93"/>
      <c r="K4" s="93"/>
      <c r="L4" s="93"/>
    </row>
    <row r="5" spans="2:13" ht="33" customHeight="1" x14ac:dyDescent="0.25">
      <c r="C5" s="69"/>
      <c r="D5" s="353" t="s">
        <v>66</v>
      </c>
      <c r="E5" s="353"/>
      <c r="F5" s="353"/>
      <c r="G5" s="353"/>
      <c r="H5" s="353"/>
      <c r="I5" s="353"/>
      <c r="J5" s="69"/>
      <c r="K5" s="69"/>
      <c r="L5" s="69"/>
    </row>
    <row r="6" spans="2:13" ht="32.25" customHeight="1" x14ac:dyDescent="0.25">
      <c r="C6" s="69"/>
      <c r="D6" s="349" t="s">
        <v>177</v>
      </c>
      <c r="E6" s="350"/>
      <c r="F6" s="349" t="s">
        <v>178</v>
      </c>
      <c r="G6" s="350"/>
      <c r="H6" s="349" t="s">
        <v>179</v>
      </c>
      <c r="I6" s="350"/>
      <c r="J6" s="72"/>
      <c r="K6" s="72"/>
      <c r="L6" s="72"/>
    </row>
    <row r="7" spans="2:13" ht="33" customHeight="1" x14ac:dyDescent="0.25">
      <c r="C7" s="69"/>
      <c r="D7" s="351" t="str">
        <f>IFERROR(((L14*1000)/'Lägg in data här'!G8), "Ange antal kubikmeter renat vatten under tidigare flik")</f>
        <v>Ange antal kubikmeter renat vatten under tidigare flik</v>
      </c>
      <c r="E7" s="352"/>
      <c r="F7" s="351" t="str">
        <f>IFERROR(((L14*1000)/'Lägg in data här'!H8), "Ange mängden reducerat kväve under tidigare flik")</f>
        <v>Ange mängden reducerat kväve under tidigare flik</v>
      </c>
      <c r="G7" s="352"/>
      <c r="H7" s="351" t="str">
        <f>IFERROR(((L14*1000)/'Lägg in data här'!I8), "Ange antalet personekvivalenter i tidigare flik")</f>
        <v>Ange antalet personekvivalenter i tidigare flik</v>
      </c>
      <c r="I7" s="352"/>
      <c r="J7" s="69"/>
      <c r="K7" s="69"/>
      <c r="L7" s="69"/>
    </row>
    <row r="8" spans="2:13" ht="33" customHeight="1" x14ac:dyDescent="0.25">
      <c r="C8" s="69"/>
      <c r="D8" s="94"/>
      <c r="E8" s="94"/>
      <c r="F8" s="94"/>
      <c r="G8" s="94"/>
      <c r="H8" s="77"/>
      <c r="I8" s="77"/>
      <c r="J8" s="69"/>
      <c r="K8" s="69"/>
      <c r="L8" s="69"/>
    </row>
    <row r="9" spans="2:13" ht="33" customHeight="1" x14ac:dyDescent="0.25">
      <c r="C9" s="69"/>
      <c r="D9" s="276" t="s">
        <v>65</v>
      </c>
      <c r="E9" s="276"/>
      <c r="F9" s="276"/>
      <c r="G9" s="276"/>
      <c r="H9" s="276"/>
      <c r="I9" s="276"/>
      <c r="J9" s="69"/>
      <c r="K9" s="69"/>
      <c r="L9" s="69"/>
    </row>
    <row r="10" spans="2:13" ht="33" customHeight="1" x14ac:dyDescent="0.25">
      <c r="C10" s="69"/>
      <c r="D10" s="349" t="s">
        <v>504</v>
      </c>
      <c r="E10" s="350"/>
      <c r="F10" s="349" t="s">
        <v>503</v>
      </c>
      <c r="G10" s="350"/>
      <c r="H10" s="355" t="s">
        <v>502</v>
      </c>
      <c r="I10" s="355"/>
      <c r="J10" s="69"/>
      <c r="K10" s="69"/>
      <c r="L10" s="69"/>
    </row>
    <row r="11" spans="2:13" ht="33" customHeight="1" x14ac:dyDescent="0.25">
      <c r="C11" s="69"/>
      <c r="D11" s="356" t="str">
        <f>IFERROR(((L14*1000)/'Lägg in data här'!C8), "Ange antal kubikmeter intaget råvatten i tidigare flik")</f>
        <v>Ange antal kubikmeter intaget råvatten i tidigare flik</v>
      </c>
      <c r="E11" s="357"/>
      <c r="F11" s="356" t="str">
        <f>IFERROR(((L14*1000)/'Lägg in data här'!D8), "Ange antal kubikmeter utgående vatten i tidigare flik")</f>
        <v>Ange antal kubikmeter utgående vatten i tidigare flik</v>
      </c>
      <c r="G11" s="357"/>
      <c r="H11" s="358" t="str">
        <f>IFERROR(((L14*1000)/'Lägg in data här'!E8), "Ange antal kubikmeter förbrukat vatten i tidigare flik")</f>
        <v>Ange antal kubikmeter förbrukat vatten i tidigare flik</v>
      </c>
      <c r="I11" s="358"/>
      <c r="J11" s="69"/>
      <c r="K11" s="69"/>
      <c r="L11" s="69"/>
    </row>
    <row r="12" spans="2:13" ht="33" customHeight="1" x14ac:dyDescent="0.25">
      <c r="C12" s="69"/>
      <c r="D12" s="169"/>
      <c r="E12" s="169"/>
      <c r="F12" s="69"/>
      <c r="G12" s="69"/>
      <c r="H12" s="170"/>
      <c r="I12" s="170"/>
      <c r="J12" s="69"/>
      <c r="K12" s="69"/>
      <c r="L12" s="69"/>
    </row>
    <row r="13" spans="2:13" ht="66" customHeight="1" x14ac:dyDescent="0.25">
      <c r="B13" s="80" t="s">
        <v>183</v>
      </c>
      <c r="C13" s="80" t="s">
        <v>186</v>
      </c>
      <c r="D13" s="80" t="s">
        <v>187</v>
      </c>
      <c r="E13" s="80" t="s">
        <v>185</v>
      </c>
      <c r="F13" s="81" t="s">
        <v>182</v>
      </c>
      <c r="G13" s="80" t="s">
        <v>184</v>
      </c>
      <c r="H13" s="80" t="s">
        <v>180</v>
      </c>
      <c r="I13" s="81" t="s">
        <v>564</v>
      </c>
      <c r="J13" s="80" t="s">
        <v>181</v>
      </c>
      <c r="K13" s="80" t="s">
        <v>188</v>
      </c>
      <c r="L13" s="173" t="s">
        <v>293</v>
      </c>
    </row>
    <row r="14" spans="2:13" ht="33" customHeight="1" x14ac:dyDescent="0.25">
      <c r="B14" s="168">
        <f>(SUM(E34:E39)+SUM(E42:E50))/1000</f>
        <v>0</v>
      </c>
      <c r="C14" s="168">
        <f>(I52+I53+I57+I55)/1000</f>
        <v>0</v>
      </c>
      <c r="D14" s="168">
        <f>(I51+I54+I56+SUM(I43:I44)+SUM(I46:I48))/1000</f>
        <v>0</v>
      </c>
      <c r="E14" s="168">
        <f>(SUM(E61:E68))/1000</f>
        <v>0</v>
      </c>
      <c r="F14" s="168">
        <f>(SUM(D24:D31)+SUM(E24:E31)+SUM(D34:D39))/1000</f>
        <v>0</v>
      </c>
      <c r="G14" s="168">
        <f>(SUM(D42:D50))/1000</f>
        <v>0</v>
      </c>
      <c r="H14" s="168">
        <f>(SUM(D93:D95)+SUM(I64:I102)+SUM(D71:D90)+SUM(D61:D68)+I61)/1000</f>
        <v>0</v>
      </c>
      <c r="I14" s="78">
        <f>(SUM(D98:D102)+SUM(D105:D108)+SUM(D111:D113))/1000</f>
        <v>0</v>
      </c>
      <c r="J14" s="168">
        <f>(SUM(J24:J39)+SUM(E93:E95)+SUM(J64:J102)+SUM(E71:E90)+SUM(F61:F68)+SUM(E98:E102)+SUM(E105:E108)+SUM(E111:E113))/1000</f>
        <v>0</v>
      </c>
      <c r="K14" s="168">
        <f>(SUM(I24:I39))/1000+I45/1000</f>
        <v>0</v>
      </c>
      <c r="L14" s="168">
        <f>SUM(B14:K14)</f>
        <v>0</v>
      </c>
    </row>
    <row r="15" spans="2:13" ht="24.95" customHeight="1" x14ac:dyDescent="0.25">
      <c r="B15" s="168" t="s">
        <v>294</v>
      </c>
      <c r="C15" s="168" t="s">
        <v>294</v>
      </c>
      <c r="D15" s="168" t="s">
        <v>294</v>
      </c>
      <c r="E15" s="168" t="s">
        <v>294</v>
      </c>
      <c r="F15" s="168" t="s">
        <v>294</v>
      </c>
      <c r="G15" s="168" t="s">
        <v>294</v>
      </c>
      <c r="H15" s="168" t="s">
        <v>294</v>
      </c>
      <c r="I15" s="244" t="s">
        <v>294</v>
      </c>
      <c r="J15" s="168" t="s">
        <v>294</v>
      </c>
      <c r="K15" s="168" t="s">
        <v>294</v>
      </c>
      <c r="L15" s="168" t="s">
        <v>294</v>
      </c>
    </row>
    <row r="16" spans="2:13" ht="33" customHeight="1" x14ac:dyDescent="0.25">
      <c r="C16" s="79"/>
      <c r="D16" s="79"/>
      <c r="E16" s="82"/>
      <c r="F16" s="79"/>
      <c r="G16" s="79"/>
      <c r="H16" s="79"/>
      <c r="I16" s="79"/>
      <c r="J16" s="79"/>
      <c r="M16" s="79"/>
    </row>
    <row r="17" spans="1:12" ht="66" customHeight="1" x14ac:dyDescent="0.25">
      <c r="C17" s="79"/>
      <c r="D17" s="80" t="s">
        <v>309</v>
      </c>
      <c r="E17" s="81" t="s">
        <v>310</v>
      </c>
      <c r="F17" s="80" t="s">
        <v>317</v>
      </c>
      <c r="G17" s="80" t="s">
        <v>318</v>
      </c>
      <c r="H17" s="79"/>
      <c r="I17" s="80" t="s">
        <v>312</v>
      </c>
      <c r="K17" s="80" t="s">
        <v>575</v>
      </c>
      <c r="L17" s="79"/>
    </row>
    <row r="18" spans="1:12" ht="33" customHeight="1" x14ac:dyDescent="0.25">
      <c r="C18" s="79"/>
      <c r="D18" s="168">
        <f>SUM(B14:E14)</f>
        <v>0</v>
      </c>
      <c r="E18" s="168">
        <f>F14</f>
        <v>0</v>
      </c>
      <c r="F18" s="168">
        <f>SUM(G14:J14)+I14-(SUM(J24:J39))/1000</f>
        <v>0</v>
      </c>
      <c r="G18" s="168">
        <f>K14+(SUM(J24:J39))/1000</f>
        <v>0</v>
      </c>
      <c r="H18" s="79"/>
      <c r="I18" s="359" t="str">
        <f>'Nyttor från biprodukter'!H9</f>
        <v>Lägg in data i indataflikarna</v>
      </c>
      <c r="K18" s="112" t="str">
        <f>(IF(AND(ISBLANK('Lägg in data här'!G8),ISBLANK('Lägg in data här'!D8)), "Lägg in data i indataflikarna", ((SUM('Lägg in data här'!E20:E26)+SUM('Lägg in data här'!F20:F26)+SUM('Lägg in data här'!E31:E36)))*1000/('Lägg in data här'!G8+'Lägg in data här'!D8)))</f>
        <v>Lägg in data i indataflikarna</v>
      </c>
      <c r="L18" s="79"/>
    </row>
    <row r="19" spans="1:12" ht="24.95" customHeight="1" x14ac:dyDescent="0.25">
      <c r="C19" s="79"/>
      <c r="D19" s="168" t="s">
        <v>294</v>
      </c>
      <c r="E19" s="168" t="s">
        <v>294</v>
      </c>
      <c r="F19" s="168" t="s">
        <v>294</v>
      </c>
      <c r="G19" s="168" t="s">
        <v>294</v>
      </c>
      <c r="H19" s="79"/>
      <c r="I19" s="359"/>
      <c r="K19" s="168" t="s">
        <v>597</v>
      </c>
      <c r="L19" s="79"/>
    </row>
    <row r="20" spans="1:12" ht="33" customHeight="1" x14ac:dyDescent="0.25">
      <c r="C20" s="79"/>
      <c r="D20" s="82"/>
      <c r="E20" s="79"/>
      <c r="F20" s="79"/>
      <c r="G20" s="79"/>
      <c r="H20" s="79"/>
      <c r="I20" s="79"/>
      <c r="K20" s="79"/>
      <c r="L20" s="79"/>
    </row>
    <row r="21" spans="1:12" ht="33" customHeight="1" x14ac:dyDescent="0.25">
      <c r="B21" s="354" t="s">
        <v>189</v>
      </c>
      <c r="C21" s="354"/>
      <c r="D21" s="354"/>
      <c r="E21" s="354"/>
      <c r="F21" s="354"/>
      <c r="G21" s="354"/>
      <c r="H21" s="354"/>
      <c r="I21" s="354"/>
      <c r="J21" s="354"/>
      <c r="K21" s="354"/>
      <c r="L21" s="84"/>
    </row>
    <row r="22" spans="1:12" ht="33" customHeight="1" x14ac:dyDescent="0.25">
      <c r="C22" s="66"/>
      <c r="D22" s="66"/>
      <c r="E22" s="66"/>
      <c r="F22" s="66"/>
      <c r="G22" s="66"/>
      <c r="H22" s="66"/>
      <c r="I22" s="66"/>
      <c r="J22" s="66"/>
      <c r="K22" s="66"/>
      <c r="L22" s="66"/>
    </row>
    <row r="23" spans="1:12" ht="33" customHeight="1" x14ac:dyDescent="0.25">
      <c r="C23" s="54" t="s">
        <v>300</v>
      </c>
      <c r="D23" s="76" t="s">
        <v>190</v>
      </c>
      <c r="E23" s="76" t="s">
        <v>191</v>
      </c>
      <c r="G23" s="54" t="s">
        <v>303</v>
      </c>
      <c r="H23" s="54" t="s">
        <v>194</v>
      </c>
      <c r="I23" s="76" t="s">
        <v>195</v>
      </c>
      <c r="J23" s="76" t="s">
        <v>196</v>
      </c>
    </row>
    <row r="24" spans="1:12" ht="33" customHeight="1" x14ac:dyDescent="0.25">
      <c r="A24" s="23"/>
      <c r="B24" s="23"/>
      <c r="C24" s="58" t="str">
        <f>'Lägg in data här'!D15</f>
        <v>Nordisk elmix</v>
      </c>
      <c r="D24" s="87">
        <f>'Lägg in data här'!E15*'Lägg in data här'!G15</f>
        <v>0</v>
      </c>
      <c r="E24" s="87">
        <f>'Lägg in data här'!F15*'Lägg in data här'!G15</f>
        <v>0</v>
      </c>
      <c r="G24" s="342" t="s">
        <v>89</v>
      </c>
      <c r="H24" s="110" t="str">
        <f>'Lägg in data här'!E58</f>
        <v>Återvinning</v>
      </c>
      <c r="I24" s="87">
        <f>'Lägg in data här'!F58*'Lägg in data här'!I58</f>
        <v>0</v>
      </c>
      <c r="J24" s="87">
        <f>('Lägg in data här'!F58*'Lägg in data här'!G58)*'Lägg in data här'!J58</f>
        <v>0</v>
      </c>
    </row>
    <row r="25" spans="1:12" ht="33" customHeight="1" x14ac:dyDescent="0.25">
      <c r="A25" s="23"/>
      <c r="B25" s="23"/>
      <c r="C25" s="58" t="str">
        <f>'Lägg in data här'!D20</f>
        <v>Nordisk residualmix</v>
      </c>
      <c r="D25" s="87">
        <f>'Lägg in data här'!E20*'Lägg in data här'!G20</f>
        <v>0</v>
      </c>
      <c r="E25" s="87">
        <f>'Lägg in data här'!F20*'Lägg in data här'!G20</f>
        <v>0</v>
      </c>
      <c r="G25" s="342"/>
      <c r="H25" s="110" t="str">
        <f>'Lägg in data här'!E59</f>
        <v>Deponi</v>
      </c>
      <c r="I25" s="87">
        <f>'Lägg in data här'!F59*'Lägg in data här'!I59</f>
        <v>0</v>
      </c>
      <c r="J25" s="87">
        <f>('Lägg in data här'!F59*'Lägg in data här'!G59)*'Lägg in data här'!J59</f>
        <v>0</v>
      </c>
    </row>
    <row r="26" spans="1:12" ht="30" customHeight="1" x14ac:dyDescent="0.25">
      <c r="C26" s="58" t="str">
        <f>'Lägg in data här'!D21</f>
        <v>Vattenkraft</v>
      </c>
      <c r="D26" s="87">
        <f>'Lägg in data här'!E21*'Lägg in data här'!G21</f>
        <v>0</v>
      </c>
      <c r="E26" s="87">
        <f>'Lägg in data här'!F21*'Lägg in data här'!G21</f>
        <v>0</v>
      </c>
      <c r="G26" s="342" t="s">
        <v>92</v>
      </c>
      <c r="H26" s="110" t="str">
        <f>'Lägg in data här'!E60</f>
        <v>Reaktivering*</v>
      </c>
      <c r="I26" s="87">
        <f>'Lägg in data här'!F60*'Lägg in data här'!I60</f>
        <v>0</v>
      </c>
      <c r="J26" s="87">
        <f>('Lägg in data här'!F60*'Lägg in data här'!G60)*'Lägg in data här'!J60</f>
        <v>0</v>
      </c>
    </row>
    <row r="27" spans="1:12" ht="30" customHeight="1" x14ac:dyDescent="0.25">
      <c r="C27" s="58" t="str">
        <f>'Lägg in data här'!D22</f>
        <v xml:space="preserve">Vindkraft </v>
      </c>
      <c r="D27" s="87">
        <f>'Lägg in data här'!E22*'Lägg in data här'!G22</f>
        <v>0</v>
      </c>
      <c r="E27" s="87">
        <f>'Lägg in data här'!F22*'Lägg in data här'!G22</f>
        <v>0</v>
      </c>
      <c r="G27" s="342"/>
      <c r="H27" s="110" t="str">
        <f>'Lägg in data här'!E61</f>
        <v>Förbränning</v>
      </c>
      <c r="I27" s="87">
        <f>'Lägg in data här'!F61*'Lägg in data här'!I61</f>
        <v>0</v>
      </c>
      <c r="J27" s="87">
        <f>('Lägg in data här'!F61*'Lägg in data här'!G61)*'Lägg in data här'!J61</f>
        <v>0</v>
      </c>
    </row>
    <row r="28" spans="1:12" ht="30" customHeight="1" x14ac:dyDescent="0.25">
      <c r="C28" s="58" t="str">
        <f>'Lägg in data här'!D23</f>
        <v>Solkraft</v>
      </c>
      <c r="D28" s="87">
        <f>'Lägg in data här'!E23*'Lägg in data här'!G23</f>
        <v>0</v>
      </c>
      <c r="E28" s="87">
        <f>'Lägg in data här'!F23*'Lägg in data här'!G23</f>
        <v>0</v>
      </c>
      <c r="G28" s="110" t="s">
        <v>93</v>
      </c>
      <c r="H28" s="110" t="str">
        <f>'Lägg in data här'!E62</f>
        <v>Förbränning</v>
      </c>
      <c r="I28" s="87">
        <f>'Lägg in data här'!F62*'Lägg in data här'!I62</f>
        <v>0</v>
      </c>
      <c r="J28" s="87">
        <f>('Lägg in data här'!F62*'Lägg in data här'!G62)*'Lägg in data här'!J62</f>
        <v>0</v>
      </c>
    </row>
    <row r="29" spans="1:12" ht="30" customHeight="1" x14ac:dyDescent="0.25">
      <c r="C29" s="58" t="str">
        <f>'Lägg in data här'!D24</f>
        <v>Kärnkraft</v>
      </c>
      <c r="D29" s="87">
        <f>'Lägg in data här'!E24*'Lägg in data här'!G24</f>
        <v>0</v>
      </c>
      <c r="E29" s="87">
        <f>'Lägg in data här'!F24*'Lägg in data här'!G24</f>
        <v>0</v>
      </c>
      <c r="F29" s="70"/>
      <c r="G29" s="343" t="s">
        <v>164</v>
      </c>
      <c r="H29" s="110" t="str">
        <f>'Lägg in data här'!E63</f>
        <v>Behandling av orötat slam hos annat ARV**</v>
      </c>
      <c r="I29" s="87">
        <f>'Lägg in data här'!F63*'Lägg in data här'!I63*('Lägg in data här'!$H$98/100)</f>
        <v>0</v>
      </c>
      <c r="J29" s="87">
        <f>('Lägg in data här'!F63*'Lägg in data här'!G63)*'Lägg in data här'!J63</f>
        <v>0</v>
      </c>
    </row>
    <row r="30" spans="1:12" ht="30" customHeight="1" x14ac:dyDescent="0.25">
      <c r="C30" s="58" t="str">
        <f>'Lägg in data här'!D25</f>
        <v>Biogas, 
internt producerad</v>
      </c>
      <c r="D30" s="87">
        <f>'Lägg in data här'!E25*'Lägg in data här'!G25</f>
        <v>0</v>
      </c>
      <c r="E30" s="87">
        <f>'Lägg in data här'!F25*'Lägg in data här'!G25</f>
        <v>0</v>
      </c>
      <c r="F30" s="70"/>
      <c r="G30" s="344"/>
      <c r="H30" s="110" t="str">
        <f>'Lägg in data här'!E64</f>
        <v>Förbränning</v>
      </c>
      <c r="I30" s="87">
        <f>'Lägg in data här'!F64*'Lägg in data här'!I64*('Lägg in data här'!$H$98/100)</f>
        <v>0</v>
      </c>
      <c r="J30" s="87">
        <f>('Lägg in data här'!F64*'Lägg in data här'!G64)*'Lägg in data här'!J64</f>
        <v>0</v>
      </c>
    </row>
    <row r="31" spans="1:12" ht="30" customHeight="1" x14ac:dyDescent="0.25">
      <c r="C31" s="103" t="str">
        <f>'Lägg in data här'!D26</f>
        <v>Annan</v>
      </c>
      <c r="D31" s="87">
        <f>'Lägg in data här'!E26*'Lägg in data här'!G26</f>
        <v>0</v>
      </c>
      <c r="E31" s="87">
        <f>'Lägg in data här'!F26*'Lägg in data här'!G26</f>
        <v>0</v>
      </c>
      <c r="F31" s="25"/>
      <c r="G31" s="344"/>
      <c r="H31" s="110" t="str">
        <f>'Lägg in data här'!E65</f>
        <v>Deponitäckning</v>
      </c>
      <c r="I31" s="87">
        <f>'Lägg in data här'!F65*'Lägg in data här'!I65*('Lägg in data här'!$H$98/100)</f>
        <v>0</v>
      </c>
      <c r="J31" s="87">
        <f>('Lägg in data här'!F65*'Lägg in data här'!G65)*'Lägg in data här'!J65</f>
        <v>0</v>
      </c>
    </row>
    <row r="32" spans="1:12" ht="30" customHeight="1" x14ac:dyDescent="0.25">
      <c r="C32" s="70"/>
      <c r="D32" s="70"/>
      <c r="E32" s="70"/>
      <c r="F32" s="25"/>
      <c r="G32" s="344"/>
      <c r="H32" s="110" t="str">
        <f>'Lägg in data här'!E66</f>
        <v>Jordtillverkning</v>
      </c>
      <c r="I32" s="87">
        <f>'Lägg in data här'!F66*'Lägg in data här'!I66*('Lägg in data här'!$H$98/100)</f>
        <v>0</v>
      </c>
      <c r="J32" s="87">
        <f>('Lägg in data här'!F66*'Lägg in data här'!G66)*'Lägg in data här'!J66</f>
        <v>0</v>
      </c>
    </row>
    <row r="33" spans="3:12" ht="30" customHeight="1" x14ac:dyDescent="0.25">
      <c r="C33" s="54" t="s">
        <v>301</v>
      </c>
      <c r="D33" s="78" t="s">
        <v>192</v>
      </c>
      <c r="E33" s="78" t="s">
        <v>193</v>
      </c>
      <c r="F33" s="25"/>
      <c r="G33" s="345"/>
      <c r="H33" s="110" t="str">
        <f>'Lägg in data här'!E67</f>
        <v>Spridning på åkermark</v>
      </c>
      <c r="I33" s="87">
        <f>'Lägg in data här'!F67*'Lägg in data här'!I67*('Lägg in data här'!$H$98/100)</f>
        <v>0</v>
      </c>
      <c r="J33" s="87">
        <f>('Lägg in data här'!F67*'Lägg in data här'!G67)*'Lägg in data här'!J67</f>
        <v>0</v>
      </c>
    </row>
    <row r="34" spans="3:12" ht="30" customHeight="1" x14ac:dyDescent="0.25">
      <c r="C34" s="58" t="str">
        <f>'Lägg in data här'!D31</f>
        <v>Eldningsolja</v>
      </c>
      <c r="D34" s="87">
        <f>'Lägg in data här'!E31*'Lägg in data här'!F31</f>
        <v>0</v>
      </c>
      <c r="E34" s="87">
        <f>'Lägg in data här'!E31*'Lägg in data här'!G31</f>
        <v>0</v>
      </c>
      <c r="F34" s="25"/>
      <c r="G34" s="343" t="s">
        <v>200</v>
      </c>
      <c r="H34" s="110" t="str">
        <f>'Lägg in data här'!E68</f>
        <v>Återvinning</v>
      </c>
      <c r="I34" s="87">
        <f>'Lägg in data här'!F68*'Lägg in data här'!I68</f>
        <v>0</v>
      </c>
      <c r="J34" s="87">
        <f>('Lägg in data här'!F68*'Lägg in data här'!G68)*'Lägg in data här'!J68</f>
        <v>0</v>
      </c>
    </row>
    <row r="35" spans="3:12" ht="30" customHeight="1" x14ac:dyDescent="0.25">
      <c r="C35" s="58" t="str">
        <f>'Lägg in data här'!D32</f>
        <v>Naturgas 
(även gasol och stadsgas)</v>
      </c>
      <c r="D35" s="87">
        <f>'Lägg in data här'!E32*'Lägg in data här'!F32</f>
        <v>0</v>
      </c>
      <c r="E35" s="87">
        <f>'Lägg in data här'!E32*'Lägg in data här'!G32</f>
        <v>0</v>
      </c>
      <c r="F35" s="25"/>
      <c r="G35" s="345"/>
      <c r="H35" s="110" t="str">
        <f>'Lägg in data här'!E69</f>
        <v>Deponi</v>
      </c>
      <c r="I35" s="87">
        <f>'Lägg in data här'!F69*'Lägg in data här'!I69</f>
        <v>0</v>
      </c>
      <c r="J35" s="87">
        <f>('Lägg in data här'!F69*'Lägg in data här'!G69)*'Lägg in data här'!J69</f>
        <v>0</v>
      </c>
    </row>
    <row r="36" spans="3:12" ht="30" customHeight="1" x14ac:dyDescent="0.25">
      <c r="C36" s="58" t="str">
        <f>'Lägg in data här'!D33</f>
        <v>Biogas, 
internt producerad</v>
      </c>
      <c r="D36" s="87">
        <f>'Lägg in data här'!E33*'Lägg in data här'!F33</f>
        <v>0</v>
      </c>
      <c r="E36" s="87">
        <f>'Lägg in data här'!E33*'Lägg in data här'!G33</f>
        <v>0</v>
      </c>
      <c r="F36" s="25"/>
      <c r="G36" s="346" t="s">
        <v>343</v>
      </c>
      <c r="H36" s="110" t="str">
        <f>'Lägg in data här'!E70</f>
        <v>Återvinning</v>
      </c>
      <c r="I36" s="87">
        <f>'Lägg in data här'!F70*'Lägg in data här'!I70</f>
        <v>0</v>
      </c>
      <c r="J36" s="87">
        <f>('Lägg in data här'!F70*'Lägg in data här'!G70)*'Lägg in data här'!J70</f>
        <v>0</v>
      </c>
    </row>
    <row r="37" spans="3:12" ht="30" customHeight="1" x14ac:dyDescent="0.25">
      <c r="C37" s="58" t="str">
        <f>'Lägg in data här'!D34</f>
        <v>Fjärrvärme, lokala miljövärden*</v>
      </c>
      <c r="D37" s="87">
        <f>'Lägg in data här'!E34*'Lägg in data här'!F34</f>
        <v>0</v>
      </c>
      <c r="E37" s="87">
        <f>'Lägg in data här'!E34*'Lägg in data här'!G34</f>
        <v>0</v>
      </c>
      <c r="F37" s="25"/>
      <c r="G37" s="347"/>
      <c r="H37" s="110" t="str">
        <f>'Lägg in data här'!E71</f>
        <v>Deponi</v>
      </c>
      <c r="I37" s="87">
        <f>'Lägg in data här'!F71*'Lägg in data här'!I71</f>
        <v>0</v>
      </c>
      <c r="J37" s="87">
        <f>('Lägg in data här'!F71*'Lägg in data här'!G71)*'Lägg in data här'!J71</f>
        <v>0</v>
      </c>
    </row>
    <row r="38" spans="3:12" ht="30" customHeight="1" x14ac:dyDescent="0.25">
      <c r="C38" s="58" t="str">
        <f>'Lägg in data här'!D35</f>
        <v>Fjärrkyla, lokala miljövärden**</v>
      </c>
      <c r="D38" s="87">
        <f>'Lägg in data här'!E35*'Lägg in data här'!F35</f>
        <v>0</v>
      </c>
      <c r="E38" s="87">
        <f>'Lägg in data här'!E35*'Lägg in data här'!G35</f>
        <v>0</v>
      </c>
      <c r="F38" s="25"/>
      <c r="G38" s="101" t="s">
        <v>535</v>
      </c>
      <c r="H38" s="110" t="str">
        <f>'Lägg in data här'!E72</f>
        <v>Förbränning</v>
      </c>
      <c r="I38" s="87">
        <f>'Lägg in data här'!F72*'Lägg in data här'!I72</f>
        <v>0</v>
      </c>
      <c r="J38" s="87">
        <f>('Lägg in data här'!F72*'Lägg in data här'!G72)*'Lägg in data här'!J72</f>
        <v>0</v>
      </c>
      <c r="K38" s="68"/>
      <c r="L38" s="68"/>
    </row>
    <row r="39" spans="3:12" ht="30" customHeight="1" x14ac:dyDescent="0.25">
      <c r="C39" s="103" t="str">
        <f>'Lägg in data här'!D36</f>
        <v>Annan</v>
      </c>
      <c r="D39" s="87">
        <f>'Lägg in data här'!E36*'Lägg in data här'!F36</f>
        <v>0</v>
      </c>
      <c r="E39" s="87">
        <f>'Lägg in data här'!E36*'Lägg in data här'!G36</f>
        <v>0</v>
      </c>
      <c r="F39" s="25"/>
      <c r="G39" s="101" t="s">
        <v>538</v>
      </c>
      <c r="H39" s="110" t="str">
        <f>'Lägg in data här'!E73</f>
        <v>Förbränning***</v>
      </c>
      <c r="I39" s="87">
        <f>'Lägg in data här'!F73*'Lägg in data här'!I73</f>
        <v>0</v>
      </c>
      <c r="J39" s="87">
        <f>('Lägg in data här'!F73*'Lägg in data här'!G73)*'Lägg in data här'!J73</f>
        <v>0</v>
      </c>
      <c r="K39" s="68"/>
      <c r="L39" s="68"/>
    </row>
    <row r="40" spans="3:12" ht="35.1" customHeight="1" x14ac:dyDescent="0.25">
      <c r="F40" s="25"/>
    </row>
    <row r="41" spans="3:12" ht="30" customHeight="1" x14ac:dyDescent="0.25">
      <c r="C41" s="54" t="s">
        <v>302</v>
      </c>
      <c r="D41" s="55" t="s">
        <v>206</v>
      </c>
      <c r="E41" s="55" t="s">
        <v>207</v>
      </c>
      <c r="F41" s="25"/>
    </row>
    <row r="42" spans="3:12" ht="30" customHeight="1" x14ac:dyDescent="0.25">
      <c r="C42" s="58" t="str">
        <f>'Lägg in data här'!D44</f>
        <v>Diesel MK3</v>
      </c>
      <c r="D42" s="60">
        <f>'Lägg in data här'!E44*'Lägg in data här'!F44</f>
        <v>0</v>
      </c>
      <c r="E42" s="87">
        <f>'Lägg in data här'!E44*'Lägg in data här'!G44</f>
        <v>0</v>
      </c>
      <c r="F42" s="25"/>
      <c r="H42" s="55" t="s">
        <v>304</v>
      </c>
      <c r="I42" s="55" t="s">
        <v>202</v>
      </c>
    </row>
    <row r="43" spans="3:12" ht="30" customHeight="1" x14ac:dyDescent="0.25">
      <c r="C43" s="58" t="str">
        <f>'Lägg in data här'!D45</f>
        <v>Bensin MK1</v>
      </c>
      <c r="D43" s="60">
        <f>'Lägg in data här'!E45*'Lägg in data här'!F45</f>
        <v>0</v>
      </c>
      <c r="E43" s="87">
        <f>'Lägg in data här'!E45*'Lägg in data här'!G45</f>
        <v>0</v>
      </c>
      <c r="F43" s="25"/>
      <c r="H43" s="101" t="s">
        <v>208</v>
      </c>
      <c r="I43" s="87">
        <f>IF('Lägg in data här'!D89=0,'Lägg in data här'!D91*Referenser!C109,'Lägg in data här'!D89*Referenser!C109)</f>
        <v>0</v>
      </c>
    </row>
    <row r="44" spans="3:12" ht="30" customHeight="1" x14ac:dyDescent="0.25">
      <c r="C44" s="58" t="str">
        <f>'Lägg in data här'!D46</f>
        <v>E85</v>
      </c>
      <c r="D44" s="60">
        <f>'Lägg in data här'!E46*'Lägg in data här'!F46</f>
        <v>0</v>
      </c>
      <c r="E44" s="87">
        <f>'Lägg in data här'!E46*'Lägg in data här'!G46</f>
        <v>0</v>
      </c>
      <c r="F44" s="25"/>
      <c r="H44" s="58" t="s">
        <v>287</v>
      </c>
      <c r="I44" s="87">
        <f>IF('Lägg in data här'!H84=0,'Lägg in data här'!H87*('Lägg in data här'!D86/100)*'Lägg in data här'!I87*Referenser!C109,'Lägg in data här'!H84*Referenser!C109)</f>
        <v>0</v>
      </c>
    </row>
    <row r="45" spans="3:12" ht="30" customHeight="1" x14ac:dyDescent="0.25">
      <c r="C45" s="58" t="str">
        <f>'Lägg in data här'!D47</f>
        <v>HVO100</v>
      </c>
      <c r="D45" s="60">
        <f>'Lägg in data här'!E47*'Lägg in data här'!F47</f>
        <v>0</v>
      </c>
      <c r="E45" s="87">
        <f>'Lägg in data här'!E47*'Lägg in data här'!G47</f>
        <v>0</v>
      </c>
      <c r="F45" s="25"/>
      <c r="H45" s="58" t="s">
        <v>288</v>
      </c>
      <c r="I45" s="87">
        <f>'Lägg in data här'!H88*('Lägg in data här'!D86/100)*'Lägg in data här'!I88*Referenser!C109</f>
        <v>0</v>
      </c>
    </row>
    <row r="46" spans="3:12" ht="30" customHeight="1" x14ac:dyDescent="0.25">
      <c r="C46" s="58" t="str">
        <f>'Lägg in data här'!D48</f>
        <v>FAME100</v>
      </c>
      <c r="D46" s="60">
        <f>'Lägg in data här'!E48*'Lägg in data här'!F48</f>
        <v>0</v>
      </c>
      <c r="E46" s="87">
        <f>'Lägg in data här'!E48*'Lägg in data här'!G48</f>
        <v>0</v>
      </c>
      <c r="F46" s="25"/>
      <c r="H46" s="101" t="s">
        <v>289</v>
      </c>
      <c r="I46" s="87">
        <f>'Lägg in data här'!H89*('Lägg in data här'!D86/100)*'Lägg in data här'!I89*Referenser!C109</f>
        <v>0</v>
      </c>
    </row>
    <row r="47" spans="3:12" ht="30" customHeight="1" x14ac:dyDescent="0.25">
      <c r="C47" s="58" t="str">
        <f>'Lägg in data här'!D49</f>
        <v>LNG/LBG [kg]</v>
      </c>
      <c r="D47" s="60">
        <f>'Lägg in data här'!E49*'Lägg in data här'!F49</f>
        <v>0</v>
      </c>
      <c r="E47" s="87">
        <f>'Lägg in data här'!E49*'Lägg in data här'!G49</f>
        <v>0</v>
      </c>
      <c r="F47" s="25"/>
      <c r="G47" s="53"/>
      <c r="H47" s="101" t="s">
        <v>290</v>
      </c>
      <c r="I47" s="87">
        <f>'Lägg in data här'!H90*('Lägg in data här'!D86/100)*'Lägg in data här'!I90*Referenser!C109</f>
        <v>0</v>
      </c>
    </row>
    <row r="48" spans="3:12" ht="30" customHeight="1" x14ac:dyDescent="0.25">
      <c r="C48" s="58" t="str">
        <f>'Lägg in data här'!D50</f>
        <v>Fordonsgas, externt producerad [kg]</v>
      </c>
      <c r="D48" s="60">
        <f>'Lägg in data här'!E50*'Lägg in data här'!F50</f>
        <v>0</v>
      </c>
      <c r="E48" s="87">
        <f>'Lägg in data här'!E50*'Lägg in data här'!G50</f>
        <v>0</v>
      </c>
      <c r="F48" s="25"/>
      <c r="G48" s="53"/>
      <c r="H48" s="101" t="s">
        <v>291</v>
      </c>
      <c r="I48" s="87">
        <f>'Lägg in data här'!H91*('Lägg in data här'!D86/100)*'Lägg in data här'!I91*Referenser!C109</f>
        <v>0</v>
      </c>
      <c r="K48" s="68"/>
      <c r="L48" s="68"/>
    </row>
    <row r="49" spans="2:12" ht="30" customHeight="1" x14ac:dyDescent="0.25">
      <c r="C49" s="103" t="str">
        <f>'Lägg in data här'!D51</f>
        <v>Annan</v>
      </c>
      <c r="D49" s="60">
        <f>'Lägg in data här'!E51*'Lägg in data här'!F51</f>
        <v>0</v>
      </c>
      <c r="E49" s="87">
        <f>'Lägg in data här'!E51*'Lägg in data här'!G51</f>
        <v>0</v>
      </c>
      <c r="F49" s="25"/>
      <c r="G49" s="53"/>
      <c r="K49" s="68"/>
      <c r="L49" s="68"/>
    </row>
    <row r="50" spans="2:12" ht="30" customHeight="1" x14ac:dyDescent="0.25">
      <c r="C50" s="103" t="str">
        <f>'Lägg in data här'!D52</f>
        <v>Annan</v>
      </c>
      <c r="D50" s="60">
        <f>'Lägg in data här'!E52*'Lägg in data här'!F52</f>
        <v>0</v>
      </c>
      <c r="E50" s="87">
        <f>'Lägg in data här'!E52*'Lägg in data här'!G52</f>
        <v>0</v>
      </c>
      <c r="F50" s="25"/>
      <c r="G50" s="53"/>
      <c r="H50" s="55" t="s">
        <v>292</v>
      </c>
      <c r="I50" s="55" t="s">
        <v>202</v>
      </c>
      <c r="K50" s="68"/>
      <c r="L50" s="68"/>
    </row>
    <row r="51" spans="2:12" ht="30" customHeight="1" x14ac:dyDescent="0.25">
      <c r="F51" s="25"/>
      <c r="G51" s="53"/>
      <c r="H51" s="101" t="s">
        <v>203</v>
      </c>
      <c r="I51" s="87">
        <f>IF('Lägg in data här'!D98=0,'Lägg in data här'!D101*Referenser!C109,'Lägg in data här'!D98*Referenser!C109)</f>
        <v>0</v>
      </c>
      <c r="K51" s="68"/>
      <c r="L51" s="68"/>
    </row>
    <row r="52" spans="2:12" ht="30" customHeight="1" x14ac:dyDescent="0.25">
      <c r="F52" s="25"/>
      <c r="G52" s="53"/>
      <c r="H52" s="101" t="s">
        <v>204</v>
      </c>
      <c r="I52" s="87">
        <f>IF('Lägg in data här'!D108=0,'Lägg in data här'!D111*Referenser!C110,'Lägg in data här'!D108*Referenser!C110)</f>
        <v>0</v>
      </c>
      <c r="K52" s="68"/>
      <c r="L52" s="68"/>
    </row>
    <row r="53" spans="2:12" ht="30" customHeight="1" x14ac:dyDescent="0.25">
      <c r="C53" s="167"/>
      <c r="D53" s="28"/>
      <c r="E53" s="92"/>
      <c r="F53" s="25"/>
      <c r="G53" s="53"/>
      <c r="H53" s="101" t="s">
        <v>205</v>
      </c>
      <c r="I53" s="87">
        <f>IF('Lägg in data här'!D121=0,('Lägg in data här'!D126+'Lägg in data här'!D131)*Referenser!C110,'Lägg in data här'!D121*Referenser!C110)</f>
        <v>0</v>
      </c>
      <c r="K53" s="68"/>
      <c r="L53" s="68"/>
    </row>
    <row r="54" spans="2:12" ht="30" customHeight="1" x14ac:dyDescent="0.25">
      <c r="C54" s="167"/>
      <c r="D54" s="28"/>
      <c r="E54" s="92"/>
      <c r="F54" s="25"/>
      <c r="G54" s="53"/>
      <c r="H54" s="101" t="s">
        <v>209</v>
      </c>
      <c r="I54" s="87">
        <f>IF('Lägg in data här'!H101=0,'Lägg in data här'!H105*Referenser!C109,'Lägg in data här'!H101*Referenser!C109)</f>
        <v>0</v>
      </c>
      <c r="K54" s="68"/>
      <c r="L54" s="68"/>
    </row>
    <row r="55" spans="2:12" ht="30" customHeight="1" x14ac:dyDescent="0.25">
      <c r="C55" s="167"/>
      <c r="D55" s="28"/>
      <c r="E55" s="92"/>
      <c r="F55" s="25"/>
      <c r="G55" s="53"/>
      <c r="H55" s="101" t="s">
        <v>369</v>
      </c>
      <c r="I55" s="87">
        <f>'Lägg in data här'!H102*Referenser!C110</f>
        <v>0</v>
      </c>
      <c r="K55" s="68"/>
      <c r="L55" s="68"/>
    </row>
    <row r="56" spans="2:12" ht="30" customHeight="1" x14ac:dyDescent="0.25">
      <c r="C56" s="167"/>
      <c r="D56" s="28"/>
      <c r="E56" s="92"/>
      <c r="F56" s="25"/>
      <c r="G56" s="53"/>
      <c r="H56" s="101" t="s">
        <v>210</v>
      </c>
      <c r="I56" s="87">
        <f>'Lägg in data här'!H116*Referenser!C109</f>
        <v>0</v>
      </c>
      <c r="K56" s="68"/>
      <c r="L56" s="68"/>
    </row>
    <row r="57" spans="2:12" ht="30" customHeight="1" x14ac:dyDescent="0.25">
      <c r="C57" s="167"/>
      <c r="D57" s="28"/>
      <c r="E57" s="92"/>
      <c r="F57" s="25"/>
      <c r="G57" s="53"/>
      <c r="H57" s="101" t="s">
        <v>211</v>
      </c>
      <c r="I57" s="87">
        <f>'Lägg in data här'!H117*Referenser!C110</f>
        <v>0</v>
      </c>
      <c r="K57" s="68"/>
      <c r="L57" s="68"/>
    </row>
    <row r="58" spans="2:12" ht="30" customHeight="1" x14ac:dyDescent="0.25">
      <c r="B58" s="165"/>
      <c r="C58" s="163"/>
      <c r="D58" s="163"/>
      <c r="E58" s="163"/>
      <c r="F58" s="164"/>
      <c r="G58" s="138"/>
      <c r="H58" s="165"/>
      <c r="I58" s="165"/>
      <c r="J58" s="165"/>
      <c r="K58" s="155"/>
      <c r="L58" s="68"/>
    </row>
    <row r="59" spans="2:12" ht="30" customHeight="1" x14ac:dyDescent="0.25">
      <c r="G59" s="63"/>
      <c r="K59" s="70"/>
      <c r="L59" s="70"/>
    </row>
    <row r="60" spans="2:12" ht="30" customHeight="1" x14ac:dyDescent="0.25">
      <c r="C60" s="76" t="s">
        <v>305</v>
      </c>
      <c r="D60" s="55" t="s">
        <v>206</v>
      </c>
      <c r="E60" s="55" t="s">
        <v>207</v>
      </c>
      <c r="F60" s="55" t="s">
        <v>196</v>
      </c>
      <c r="G60" s="25"/>
      <c r="H60" s="78" t="s">
        <v>365</v>
      </c>
      <c r="I60" s="55" t="s">
        <v>367</v>
      </c>
    </row>
    <row r="61" spans="2:12" ht="30" customHeight="1" x14ac:dyDescent="0.25">
      <c r="C61" s="58" t="str">
        <f>'Lägg in data här för kemikalier'!C10</f>
        <v>Metanol, fossil</v>
      </c>
      <c r="D61" s="87">
        <f>'Lägg in data här för kemikalier'!D10*'Lägg in data här för kemikalier'!G10</f>
        <v>0</v>
      </c>
      <c r="E61" s="60">
        <f>'Lägg in data här för kemikalier'!H10*'Lägg in data här för kemikalier'!D10</f>
        <v>0</v>
      </c>
      <c r="F61" s="87">
        <f>'Lägg in data här för kemikalier'!D10*'Lägg in data här för kemikalier'!E10*'Lägg in data här för kemikalier'!I10</f>
        <v>0</v>
      </c>
      <c r="G61" s="53"/>
      <c r="H61" s="101" t="str">
        <f>'Lägg in data här för kemikalier'!D56</f>
        <v>Dricksvatten 
(för avloppsreningsverk)*</v>
      </c>
      <c r="I61" s="71">
        <f>'Lägg in data här för kemikalier'!E56*'Lägg in data här för kemikalier'!F56</f>
        <v>0</v>
      </c>
    </row>
    <row r="62" spans="2:12" ht="30" customHeight="1" x14ac:dyDescent="0.25">
      <c r="C62" s="58" t="str">
        <f>'Lägg in data här för kemikalier'!C11</f>
        <v>Metanol, biobaserad</v>
      </c>
      <c r="D62" s="87">
        <f>'Lägg in data här för kemikalier'!D11*'Lägg in data här för kemikalier'!G11</f>
        <v>0</v>
      </c>
      <c r="E62" s="60">
        <f>'Lägg in data här för kemikalier'!H11*'Lägg in data här för kemikalier'!D11</f>
        <v>0</v>
      </c>
      <c r="F62" s="87">
        <f>'Lägg in data här för kemikalier'!D11*'Lägg in data här för kemikalier'!E11*'Lägg in data här för kemikalier'!I11</f>
        <v>0</v>
      </c>
      <c r="G62" s="53"/>
    </row>
    <row r="63" spans="2:12" ht="30" customHeight="1" x14ac:dyDescent="0.25">
      <c r="C63" s="58" t="str">
        <f>'Lägg in data här för kemikalier'!C12</f>
        <v>Etanol, fossil</v>
      </c>
      <c r="D63" s="87">
        <f>'Lägg in data här för kemikalier'!D12*'Lägg in data här för kemikalier'!G12</f>
        <v>0</v>
      </c>
      <c r="E63" s="60">
        <f>'Lägg in data här för kemikalier'!H12*'Lägg in data här för kemikalier'!D12</f>
        <v>0</v>
      </c>
      <c r="F63" s="87">
        <f>'Lägg in data här för kemikalier'!D12*'Lägg in data här för kemikalier'!E12*'Lägg in data här för kemikalier'!I12</f>
        <v>0</v>
      </c>
      <c r="G63" s="32"/>
      <c r="H63" s="78" t="s">
        <v>308</v>
      </c>
      <c r="I63" s="55" t="s">
        <v>199</v>
      </c>
      <c r="J63" s="55" t="s">
        <v>196</v>
      </c>
    </row>
    <row r="64" spans="2:12" ht="30" customHeight="1" x14ac:dyDescent="0.25">
      <c r="C64" s="58" t="str">
        <f>'Lägg in data här för kemikalier'!C13</f>
        <v>Etanol, biobaserad</v>
      </c>
      <c r="D64" s="87">
        <f>'Lägg in data här för kemikalier'!D13*'Lägg in data här för kemikalier'!G13</f>
        <v>0</v>
      </c>
      <c r="E64" s="60">
        <f>'Lägg in data här för kemikalier'!H13*'Lägg in data här för kemikalier'!D13</f>
        <v>0</v>
      </c>
      <c r="F64" s="87">
        <f>'Lägg in data här för kemikalier'!D13*'Lägg in data här för kemikalier'!E13*'Lägg in data här för kemikalier'!I13</f>
        <v>0</v>
      </c>
      <c r="G64" s="32"/>
      <c r="H64" s="58" t="str">
        <f>'Lägg in data här för kemikalier'!C60</f>
        <v>Aktivt kol, fossilt ursprung</v>
      </c>
      <c r="I64" s="87">
        <f>'Lägg in data här för kemikalier'!D60*'Lägg in data här för kemikalier'!G60</f>
        <v>0</v>
      </c>
      <c r="J64" s="87">
        <f>'Lägg in data här för kemikalier'!D60*'Lägg in data här för kemikalier'!E60*'Lägg in data här för kemikalier'!H60</f>
        <v>0</v>
      </c>
    </row>
    <row r="65" spans="3:10" ht="30" customHeight="1" x14ac:dyDescent="0.25">
      <c r="C65" s="58" t="str">
        <f>'Lägg in data här för kemikalier'!C14</f>
        <v>Sekundol/isopropanol</v>
      </c>
      <c r="D65" s="87">
        <f>'Lägg in data här för kemikalier'!D14*'Lägg in data här för kemikalier'!G14</f>
        <v>0</v>
      </c>
      <c r="E65" s="60">
        <f>'Lägg in data här för kemikalier'!H14*'Lägg in data här för kemikalier'!D14</f>
        <v>0</v>
      </c>
      <c r="F65" s="87">
        <f>'Lägg in data här för kemikalier'!D14*'Lägg in data här för kemikalier'!E14*'Lägg in data här för kemikalier'!I14</f>
        <v>0</v>
      </c>
      <c r="G65" s="25"/>
      <c r="H65" s="58" t="str">
        <f>'Lägg in data här för kemikalier'!C61</f>
        <v>Aktivt kol, reaktiverat</v>
      </c>
      <c r="I65" s="87">
        <f>'Lägg in data här för kemikalier'!D61*'Lägg in data här för kemikalier'!G61</f>
        <v>0</v>
      </c>
      <c r="J65" s="87">
        <f>'Lägg in data här för kemikalier'!D61*'Lägg in data här för kemikalier'!E61*'Lägg in data här för kemikalier'!H61</f>
        <v>0</v>
      </c>
    </row>
    <row r="66" spans="3:10" ht="30" customHeight="1" x14ac:dyDescent="0.25">
      <c r="C66" s="58" t="str">
        <f>'Lägg in data här för kemikalier'!C15</f>
        <v>Brenntaplus</v>
      </c>
      <c r="D66" s="87">
        <f>'Lägg in data här för kemikalier'!D15*'Lägg in data här för kemikalier'!G15</f>
        <v>0</v>
      </c>
      <c r="E66" s="60">
        <f>'Lägg in data här för kemikalier'!H15*'Lägg in data här för kemikalier'!D15</f>
        <v>0</v>
      </c>
      <c r="F66" s="87">
        <f>'Lägg in data här för kemikalier'!D15*'Lägg in data här för kemikalier'!E15*'Lägg in data här för kemikalier'!I15</f>
        <v>0</v>
      </c>
      <c r="G66" s="25"/>
      <c r="H66" s="58" t="str">
        <f>'Lägg in data här för kemikalier'!C62</f>
        <v>Aktivt kol, FiltraSorb 400</v>
      </c>
      <c r="I66" s="87">
        <f>'Lägg in data här för kemikalier'!D62*'Lägg in data här för kemikalier'!G62</f>
        <v>0</v>
      </c>
      <c r="J66" s="87">
        <f>'Lägg in data här för kemikalier'!D62*'Lägg in data här för kemikalier'!E62*'Lägg in data här för kemikalier'!H62</f>
        <v>0</v>
      </c>
    </row>
    <row r="67" spans="3:10" ht="30" customHeight="1" x14ac:dyDescent="0.25">
      <c r="C67" s="103" t="str">
        <f>'Lägg in data här för kemikalier'!C16</f>
        <v>Annan</v>
      </c>
      <c r="D67" s="87">
        <f>'Lägg in data här för kemikalier'!D16*'Lägg in data här för kemikalier'!G16</f>
        <v>0</v>
      </c>
      <c r="E67" s="60">
        <f>'Lägg in data här för kemikalier'!H16*'Lägg in data här för kemikalier'!D16</f>
        <v>0</v>
      </c>
      <c r="F67" s="87">
        <f>'Lägg in data här för kemikalier'!D16*'Lägg in data här för kemikalier'!E16*'Lägg in data här för kemikalier'!I16</f>
        <v>0</v>
      </c>
      <c r="G67" s="25"/>
      <c r="H67" s="58" t="str">
        <f>'Lägg in data här för kemikalier'!C63</f>
        <v>Aktivt kol, FiltraSorb 400, reaktiverat</v>
      </c>
      <c r="I67" s="87">
        <f>'Lägg in data här för kemikalier'!D63*'Lägg in data här för kemikalier'!G63</f>
        <v>0</v>
      </c>
      <c r="J67" s="87">
        <f>'Lägg in data här för kemikalier'!D63*'Lägg in data här för kemikalier'!E63*'Lägg in data här för kemikalier'!H63</f>
        <v>0</v>
      </c>
    </row>
    <row r="68" spans="3:10" ht="30" customHeight="1" x14ac:dyDescent="0.25">
      <c r="C68" s="103" t="str">
        <f>'Lägg in data här för kemikalier'!C17</f>
        <v>Annan</v>
      </c>
      <c r="D68" s="87">
        <f>'Lägg in data här för kemikalier'!D17*'Lägg in data här för kemikalier'!G17</f>
        <v>0</v>
      </c>
      <c r="E68" s="60">
        <f>'Lägg in data här för kemikalier'!H17*'Lägg in data här för kemikalier'!D17</f>
        <v>0</v>
      </c>
      <c r="F68" s="87">
        <f>'Lägg in data här för kemikalier'!D17*'Lägg in data här för kemikalier'!E17*'Lägg in data här för kemikalier'!I17</f>
        <v>0</v>
      </c>
      <c r="G68" s="25"/>
      <c r="H68" s="58" t="str">
        <f>'Lägg in data här för kemikalier'!C64</f>
        <v>Aktivt kol, 100% kokosnötsbaserat</v>
      </c>
      <c r="I68" s="87">
        <f>'Lägg in data här för kemikalier'!D64*'Lägg in data här för kemikalier'!G64</f>
        <v>0</v>
      </c>
      <c r="J68" s="87">
        <f>'Lägg in data här för kemikalier'!D64*'Lägg in data här för kemikalier'!E64*'Lägg in data här för kemikalier'!H64</f>
        <v>0</v>
      </c>
    </row>
    <row r="69" spans="3:10" ht="30" customHeight="1" x14ac:dyDescent="0.25">
      <c r="G69" s="25"/>
      <c r="H69" s="58" t="str">
        <f>'Lägg in data här för kemikalier'!C65</f>
        <v>Aktivt kol, Jacobi (kokosnötsbaserat)</v>
      </c>
      <c r="I69" s="87">
        <f>'Lägg in data här för kemikalier'!D65*'Lägg in data här för kemikalier'!G65</f>
        <v>0</v>
      </c>
      <c r="J69" s="87">
        <f>'Lägg in data här för kemikalier'!D65*'Lägg in data här för kemikalier'!E65*'Lägg in data här för kemikalier'!H65</f>
        <v>0</v>
      </c>
    </row>
    <row r="70" spans="3:10" ht="30" customHeight="1" x14ac:dyDescent="0.25">
      <c r="C70" s="55" t="s">
        <v>306</v>
      </c>
      <c r="D70" s="78" t="s">
        <v>199</v>
      </c>
      <c r="E70" s="78" t="s">
        <v>196</v>
      </c>
      <c r="G70" s="25"/>
      <c r="H70" s="58" t="str">
        <f>'Lägg in data här för kemikalier'!C66</f>
        <v>Aktivt kol, Jacobi (kokosnötsbaserat), reaktiverat</v>
      </c>
      <c r="I70" s="87">
        <f>'Lägg in data här för kemikalier'!D66*'Lägg in data här för kemikalier'!G66</f>
        <v>0</v>
      </c>
      <c r="J70" s="87">
        <f>'Lägg in data här för kemikalier'!D66*'Lägg in data här för kemikalier'!E66*'Lägg in data här för kemikalier'!H66</f>
        <v>0</v>
      </c>
    </row>
    <row r="71" spans="3:10" ht="30" customHeight="1" x14ac:dyDescent="0.25">
      <c r="C71" s="58" t="str">
        <f>'Lägg in data här för kemikalier'!C23</f>
        <v>Järnklorid (PIX-111)</v>
      </c>
      <c r="D71" s="87">
        <f>'Lägg in data här för kemikalier'!D23*'Lägg in data här för kemikalier'!G23</f>
        <v>0</v>
      </c>
      <c r="E71" s="87">
        <f>'Lägg in data här för kemikalier'!D23*'Lägg in data här för kemikalier'!E23*'Lägg in data här för kemikalier'!H23</f>
        <v>0</v>
      </c>
      <c r="G71" s="70"/>
      <c r="H71" s="58" t="str">
        <f>'Lägg in data här för kemikalier'!C67</f>
        <v>Jonbytarmassa*</v>
      </c>
      <c r="I71" s="87">
        <f>'Lägg in data här för kemikalier'!D67*'Lägg in data här för kemikalier'!G67</f>
        <v>0</v>
      </c>
      <c r="J71" s="87">
        <f>'Lägg in data här för kemikalier'!D67*'Lägg in data här för kemikalier'!E67*'Lägg in data här för kemikalier'!H67</f>
        <v>0</v>
      </c>
    </row>
    <row r="72" spans="3:10" ht="30" customHeight="1" x14ac:dyDescent="0.25">
      <c r="C72" s="58" t="str">
        <f>'Lägg in data här för kemikalier'!C24</f>
        <v>Järnklorid (Plusjärn S 314)</v>
      </c>
      <c r="D72" s="87">
        <f>'Lägg in data här för kemikalier'!D24*'Lägg in data här för kemikalier'!G24</f>
        <v>0</v>
      </c>
      <c r="E72" s="87">
        <f>'Lägg in data här för kemikalier'!D24*'Lägg in data här för kemikalier'!E24*'Lägg in data här för kemikalier'!H24</f>
        <v>0</v>
      </c>
      <c r="G72" s="70"/>
      <c r="H72" s="58" t="str">
        <f>'Lägg in data här för kemikalier'!C68</f>
        <v>Jonbytarmassa*, 
förnybar NaOH</v>
      </c>
      <c r="I72" s="87">
        <f>'Lägg in data här för kemikalier'!D68*'Lägg in data här för kemikalier'!G68</f>
        <v>0</v>
      </c>
      <c r="J72" s="87">
        <f>'Lägg in data här för kemikalier'!D68*'Lägg in data här för kemikalier'!E68*'Lägg in data här för kemikalier'!H68</f>
        <v>0</v>
      </c>
    </row>
    <row r="73" spans="3:10" ht="30" customHeight="1" x14ac:dyDescent="0.25">
      <c r="C73" s="58" t="str">
        <f>'Lägg in data här för kemikalier'!C25</f>
        <v>Järnsulfat 
(tvåvärd, t.ex. Quickfloc)</v>
      </c>
      <c r="D73" s="87">
        <f>'Lägg in data här för kemikalier'!D25*'Lägg in data här för kemikalier'!G25</f>
        <v>0</v>
      </c>
      <c r="E73" s="87">
        <f>'Lägg in data här för kemikalier'!D25*'Lägg in data här för kemikalier'!E25*'Lägg in data här för kemikalier'!H25</f>
        <v>0</v>
      </c>
      <c r="G73" s="70"/>
      <c r="H73" s="58" t="str">
        <f>'Lägg in data här för kemikalier'!C69</f>
        <v>Jonbytarmassa* förnybar NaOH 
och förnybar akrylnitril</v>
      </c>
      <c r="I73" s="87">
        <f>'Lägg in data här för kemikalier'!D69*'Lägg in data här för kemikalier'!G69</f>
        <v>0</v>
      </c>
      <c r="J73" s="87">
        <f>'Lägg in data här för kemikalier'!D69*'Lägg in data här för kemikalier'!E69*'Lägg in data här för kemikalier'!H69</f>
        <v>0</v>
      </c>
    </row>
    <row r="74" spans="3:10" ht="30" customHeight="1" x14ac:dyDescent="0.25">
      <c r="C74" s="58" t="str">
        <f>'Lägg in data här för kemikalier'!C26</f>
        <v>Järnsulfat (PIX-113)</v>
      </c>
      <c r="D74" s="87">
        <f>'Lägg in data här för kemikalier'!D26*'Lägg in data här för kemikalier'!G26</f>
        <v>0</v>
      </c>
      <c r="E74" s="87">
        <f>'Lägg in data här för kemikalier'!D26*'Lägg in data här för kemikalier'!E26*'Lägg in data här för kemikalier'!H26</f>
        <v>0</v>
      </c>
      <c r="G74" s="70"/>
      <c r="H74" s="58" t="str">
        <f>'Lägg in data här för kemikalier'!C70</f>
        <v>Sand</v>
      </c>
      <c r="I74" s="87">
        <f>'Lägg in data här för kemikalier'!D70*'Lägg in data här för kemikalier'!G70</f>
        <v>0</v>
      </c>
      <c r="J74" s="87">
        <f>'Lägg in data här för kemikalier'!D70*'Lägg in data här för kemikalier'!E70*'Lägg in data här för kemikalier'!H70</f>
        <v>0</v>
      </c>
    </row>
    <row r="75" spans="3:10" ht="30" customHeight="1" x14ac:dyDescent="0.25">
      <c r="C75" s="58" t="str">
        <f>'Lägg in data här för kemikalier'!C27</f>
        <v>Järnkloridsulfat (PIX-118)</v>
      </c>
      <c r="D75" s="87">
        <f>'Lägg in data här för kemikalier'!D27*'Lägg in data här för kemikalier'!G27</f>
        <v>0</v>
      </c>
      <c r="E75" s="87">
        <f>'Lägg in data här för kemikalier'!D27*'Lägg in data här för kemikalier'!E27*'Lägg in data här för kemikalier'!H27</f>
        <v>0</v>
      </c>
      <c r="G75" s="70"/>
      <c r="H75" s="58" t="str">
        <f>'Lägg in data här för kemikalier'!C71</f>
        <v>Bränd kalk (CaO)</v>
      </c>
      <c r="I75" s="87">
        <f>'Lägg in data här för kemikalier'!D71*'Lägg in data här för kemikalier'!G71</f>
        <v>0</v>
      </c>
      <c r="J75" s="87">
        <f>'Lägg in data här för kemikalier'!D71*'Lägg in data här för kemikalier'!E71*'Lägg in data här för kemikalier'!H71</f>
        <v>0</v>
      </c>
    </row>
    <row r="76" spans="3:10" ht="30" customHeight="1" x14ac:dyDescent="0.25">
      <c r="C76" s="58" t="str">
        <f>'Lägg in data här för kemikalier'!C28</f>
        <v>Aluminiumjärnklorid 
(Ekomix 1091)</v>
      </c>
      <c r="D76" s="87">
        <f>'Lägg in data här för kemikalier'!D28*'Lägg in data här för kemikalier'!G28</f>
        <v>0</v>
      </c>
      <c r="E76" s="87">
        <f>'Lägg in data här för kemikalier'!D28*'Lägg in data här för kemikalier'!E28*'Lägg in data här för kemikalier'!H28</f>
        <v>0</v>
      </c>
      <c r="G76" s="70"/>
      <c r="H76" s="58" t="str">
        <f>'Lägg in data här för kemikalier'!C72</f>
        <v>Släckt kalk (Ca(OH)2)</v>
      </c>
      <c r="I76" s="87">
        <f>'Lägg in data här för kemikalier'!D72*'Lägg in data här för kemikalier'!G72</f>
        <v>0</v>
      </c>
      <c r="J76" s="87">
        <f>'Lägg in data här för kemikalier'!D72*'Lägg in data här för kemikalier'!E72*'Lägg in data här för kemikalier'!H72</f>
        <v>0</v>
      </c>
    </row>
    <row r="77" spans="3:10" ht="30" customHeight="1" x14ac:dyDescent="0.25">
      <c r="C77" s="58" t="str">
        <f>'Lägg in data här för kemikalier'!C29</f>
        <v>Aluminiumsulfat (ALG)</v>
      </c>
      <c r="D77" s="87">
        <f>'Lägg in data här för kemikalier'!D29*'Lägg in data här för kemikalier'!G29</f>
        <v>0</v>
      </c>
      <c r="E77" s="87">
        <f>'Lägg in data här för kemikalier'!D29*'Lägg in data här för kemikalier'!E29*'Lägg in data här för kemikalier'!H29</f>
        <v>0</v>
      </c>
      <c r="G77" s="70"/>
      <c r="H77" s="58" t="str">
        <f>'Lägg in data här för kemikalier'!C73</f>
        <v>Kalksten (CaCO3)</v>
      </c>
      <c r="I77" s="87">
        <f>'Lägg in data här för kemikalier'!D73*'Lägg in data här för kemikalier'!G73</f>
        <v>0</v>
      </c>
      <c r="J77" s="87">
        <f>'Lägg in data här för kemikalier'!D73*'Lägg in data här för kemikalier'!E73*'Lägg in data här för kemikalier'!H73</f>
        <v>0</v>
      </c>
    </row>
    <row r="78" spans="3:10" ht="30" customHeight="1" x14ac:dyDescent="0.25">
      <c r="C78" s="58" t="str">
        <f>'Lägg in data här för kemikalier'!C30</f>
        <v>PAC (Ekoflock 54)</v>
      </c>
      <c r="D78" s="87">
        <f>'Lägg in data här för kemikalier'!D30*'Lägg in data här för kemikalier'!G30</f>
        <v>0</v>
      </c>
      <c r="E78" s="87">
        <f>'Lägg in data här för kemikalier'!D30*'Lägg in data här för kemikalier'!E30*'Lägg in data här för kemikalier'!H30</f>
        <v>0</v>
      </c>
      <c r="F78" s="70"/>
      <c r="G78" s="70"/>
      <c r="H78" s="58" t="str">
        <f>'Lägg in data här för kemikalier'!C74</f>
        <v>Natriumklorid</v>
      </c>
      <c r="I78" s="87">
        <f>'Lägg in data här för kemikalier'!D74*'Lägg in data här för kemikalier'!G74</f>
        <v>0</v>
      </c>
      <c r="J78" s="87">
        <f>'Lägg in data här för kemikalier'!D74*'Lägg in data här för kemikalier'!E74*'Lägg in data här för kemikalier'!H74</f>
        <v>0</v>
      </c>
    </row>
    <row r="79" spans="3:10" ht="30" customHeight="1" x14ac:dyDescent="0.25">
      <c r="C79" s="58" t="str">
        <f>'Lägg in data här för kemikalier'!C31</f>
        <v>PAC (Ekoflock 70)</v>
      </c>
      <c r="D79" s="87">
        <f>'Lägg in data här för kemikalier'!D31*'Lägg in data här för kemikalier'!G31</f>
        <v>0</v>
      </c>
      <c r="E79" s="87">
        <f>'Lägg in data här för kemikalier'!D31*'Lägg in data här för kemikalier'!E31*'Lägg in data här för kemikalier'!H31</f>
        <v>0</v>
      </c>
      <c r="F79" s="70"/>
      <c r="G79" s="70"/>
      <c r="H79" s="58" t="str">
        <f>'Lägg in data här för kemikalier'!C75</f>
        <v>Natriumhydroxid (50%)</v>
      </c>
      <c r="I79" s="87">
        <f>'Lägg in data här för kemikalier'!D75*'Lägg in data här för kemikalier'!G75</f>
        <v>0</v>
      </c>
      <c r="J79" s="87">
        <f>'Lägg in data här för kemikalier'!D75*'Lägg in data här för kemikalier'!E75*'Lägg in data här för kemikalier'!H75</f>
        <v>0</v>
      </c>
    </row>
    <row r="80" spans="3:10" ht="30" customHeight="1" x14ac:dyDescent="0.25">
      <c r="C80" s="58" t="str">
        <f>'Lägg in data här för kemikalier'!C32</f>
        <v>PAC (Ekoflock 75)</v>
      </c>
      <c r="D80" s="87">
        <f>'Lägg in data här för kemikalier'!D32*'Lägg in data här för kemikalier'!G32</f>
        <v>0</v>
      </c>
      <c r="E80" s="87">
        <f>'Lägg in data här för kemikalier'!D32*'Lägg in data här för kemikalier'!E32*'Lägg in data här för kemikalier'!H32</f>
        <v>0</v>
      </c>
      <c r="F80" s="70"/>
      <c r="G80" s="70"/>
      <c r="H80" s="58" t="str">
        <f>'Lägg in data här för kemikalier'!C76</f>
        <v>Natriumhydroxid (25%)</v>
      </c>
      <c r="I80" s="87">
        <f>'Lägg in data här för kemikalier'!D76*'Lägg in data här för kemikalier'!G76</f>
        <v>0</v>
      </c>
      <c r="J80" s="87">
        <f>'Lägg in data här för kemikalier'!D76*'Lägg in data här för kemikalier'!E76*'Lägg in data här för kemikalier'!H76</f>
        <v>0</v>
      </c>
    </row>
    <row r="81" spans="3:12" ht="30" customHeight="1" x14ac:dyDescent="0.25">
      <c r="C81" s="58" t="str">
        <f>'Lägg in data här för kemikalier'!C33</f>
        <v>PAC (Ekoflock 90, 91, 92)</v>
      </c>
      <c r="D81" s="87">
        <f>'Lägg in data här för kemikalier'!D33*'Lägg in data här för kemikalier'!G33</f>
        <v>0</v>
      </c>
      <c r="E81" s="87">
        <f>'Lägg in data här för kemikalier'!D33*'Lägg in data här för kemikalier'!E33*'Lägg in data här för kemikalier'!H33</f>
        <v>0</v>
      </c>
      <c r="F81" s="70"/>
      <c r="G81" s="70"/>
      <c r="H81" s="58" t="str">
        <f>'Lägg in data här för kemikalier'!C77</f>
        <v xml:space="preserve">Klor </v>
      </c>
      <c r="I81" s="87">
        <f>'Lägg in data här för kemikalier'!D77*'Lägg in data här för kemikalier'!G77</f>
        <v>0</v>
      </c>
      <c r="J81" s="87">
        <f>'Lägg in data här för kemikalier'!D77*'Lägg in data här för kemikalier'!E77*'Lägg in data här för kemikalier'!H77</f>
        <v>0</v>
      </c>
    </row>
    <row r="82" spans="3:12" ht="30" customHeight="1" x14ac:dyDescent="0.25">
      <c r="C82" s="58" t="str">
        <f>'Lägg in data här för kemikalier'!C34</f>
        <v>PAC (Ekoflock 96)</v>
      </c>
      <c r="D82" s="87">
        <f>'Lägg in data här för kemikalier'!D34*'Lägg in data här för kemikalier'!G34</f>
        <v>0</v>
      </c>
      <c r="E82" s="87">
        <f>'Lägg in data här för kemikalier'!D34*'Lägg in data här för kemikalier'!E34*'Lägg in data här för kemikalier'!H34</f>
        <v>0</v>
      </c>
      <c r="F82" s="70"/>
      <c r="G82" s="70"/>
      <c r="H82" s="58" t="str">
        <f>'Lägg in data här för kemikalier'!C78</f>
        <v>Natriumhypoklorit (50%)</v>
      </c>
      <c r="I82" s="87">
        <f>'Lägg in data här för kemikalier'!D78*'Lägg in data här för kemikalier'!G78</f>
        <v>0</v>
      </c>
      <c r="J82" s="87">
        <f>'Lägg in data här för kemikalier'!D78*'Lägg in data här för kemikalier'!E78*'Lägg in data här för kemikalier'!H78</f>
        <v>0</v>
      </c>
    </row>
    <row r="83" spans="3:12" ht="30" customHeight="1" x14ac:dyDescent="0.25">
      <c r="C83" s="58" t="str">
        <f>'Lägg in data här för kemikalier'!C35</f>
        <v>PAC (Pluspac S 1465)</v>
      </c>
      <c r="D83" s="87">
        <f>'Lägg in data här för kemikalier'!D35*'Lägg in data här för kemikalier'!G35</f>
        <v>0</v>
      </c>
      <c r="E83" s="87">
        <f>'Lägg in data här för kemikalier'!D35*'Lägg in data här för kemikalier'!E35*'Lägg in data här för kemikalier'!H35</f>
        <v>0</v>
      </c>
      <c r="F83" s="70"/>
      <c r="H83" s="58" t="str">
        <f>'Lägg in data här för kemikalier'!C79</f>
        <v>Natriumhypoklorit (13%)</v>
      </c>
      <c r="I83" s="87">
        <f>'Lägg in data här för kemikalier'!D79*'Lägg in data här för kemikalier'!G79</f>
        <v>0</v>
      </c>
      <c r="J83" s="87">
        <f>'Lägg in data här för kemikalier'!D79*'Lägg in data här för kemikalier'!E79*'Lägg in data här för kemikalier'!H79</f>
        <v>0</v>
      </c>
    </row>
    <row r="84" spans="3:12" ht="30" customHeight="1" x14ac:dyDescent="0.25">
      <c r="C84" s="58" t="str">
        <f>'Lägg in data här för kemikalier'!C36</f>
        <v>PAC (PAX-15)</v>
      </c>
      <c r="D84" s="87">
        <f>'Lägg in data här för kemikalier'!D36*'Lägg in data här för kemikalier'!G36</f>
        <v>0</v>
      </c>
      <c r="E84" s="87">
        <f>'Lägg in data här för kemikalier'!D36*'Lägg in data här för kemikalier'!E36*'Lägg in data här för kemikalier'!H36</f>
        <v>0</v>
      </c>
      <c r="F84" s="70"/>
      <c r="H84" s="58" t="str">
        <f>'Lägg in data här för kemikalier'!C80</f>
        <v>Väteperoxid (49%)</v>
      </c>
      <c r="I84" s="87">
        <f>'Lägg in data här för kemikalier'!D80*'Lägg in data här för kemikalier'!G80</f>
        <v>0</v>
      </c>
      <c r="J84" s="87">
        <f>'Lägg in data här för kemikalier'!D80*'Lägg in data här för kemikalier'!E80*'Lägg in data här för kemikalier'!H80</f>
        <v>0</v>
      </c>
    </row>
    <row r="85" spans="3:12" ht="30" customHeight="1" x14ac:dyDescent="0.25">
      <c r="C85" s="58" t="str">
        <f>'Lägg in data här för kemikalier'!C37</f>
        <v>PAC (PAX-215)</v>
      </c>
      <c r="D85" s="87">
        <f>'Lägg in data här för kemikalier'!D37*'Lägg in data här för kemikalier'!G37</f>
        <v>0</v>
      </c>
      <c r="E85" s="87">
        <f>'Lägg in data här för kemikalier'!D37*'Lägg in data här för kemikalier'!E37*'Lägg in data här för kemikalier'!H37</f>
        <v>0</v>
      </c>
      <c r="F85" s="70"/>
      <c r="H85" s="58" t="str">
        <f>'Lägg in data här för kemikalier'!C81</f>
        <v>Svavelsyra (96%)</v>
      </c>
      <c r="I85" s="87">
        <f>'Lägg in data här för kemikalier'!D81*'Lägg in data här för kemikalier'!G81</f>
        <v>0</v>
      </c>
      <c r="J85" s="87">
        <f>'Lägg in data här för kemikalier'!D81*'Lägg in data här för kemikalier'!E81*'Lägg in data här för kemikalier'!H81</f>
        <v>0</v>
      </c>
    </row>
    <row r="86" spans="3:12" ht="30" customHeight="1" x14ac:dyDescent="0.25">
      <c r="C86" s="58" t="str">
        <f>'Lägg in data här för kemikalier'!C38</f>
        <v>PAC (PAX-XL60)</v>
      </c>
      <c r="D86" s="87">
        <f>'Lägg in data här för kemikalier'!D38*'Lägg in data här för kemikalier'!G38</f>
        <v>0</v>
      </c>
      <c r="E86" s="87">
        <f>'Lägg in data här för kemikalier'!D38*'Lägg in data här för kemikalier'!E38*'Lägg in data här för kemikalier'!H38</f>
        <v>0</v>
      </c>
      <c r="F86" s="70"/>
      <c r="H86" s="58" t="str">
        <f>'Lägg in data här för kemikalier'!C82</f>
        <v>Svavelsyra (36%)</v>
      </c>
      <c r="I86" s="87">
        <f>'Lägg in data här för kemikalier'!D82*'Lägg in data här för kemikalier'!G82</f>
        <v>0</v>
      </c>
      <c r="J86" s="87">
        <f>'Lägg in data här för kemikalier'!D82*'Lägg in data här för kemikalier'!E82*'Lägg in data här för kemikalier'!H82</f>
        <v>0</v>
      </c>
    </row>
    <row r="87" spans="3:12" ht="30" customHeight="1" x14ac:dyDescent="0.25">
      <c r="C87" s="58" t="str">
        <f>'Lägg in data här för kemikalier'!C39</f>
        <v>PAC (PAX-XL260)</v>
      </c>
      <c r="D87" s="87">
        <f>'Lägg in data här för kemikalier'!D39*'Lägg in data här för kemikalier'!G39</f>
        <v>0</v>
      </c>
      <c r="E87" s="87">
        <f>'Lägg in data här för kemikalier'!D39*'Lägg in data här för kemikalier'!E39*'Lägg in data här för kemikalier'!H39</f>
        <v>0</v>
      </c>
      <c r="F87" s="70"/>
      <c r="H87" s="58" t="str">
        <f>'Lägg in data här för kemikalier'!C83</f>
        <v>Saltsyra (32%)</v>
      </c>
      <c r="I87" s="87">
        <f>'Lägg in data här för kemikalier'!D83*'Lägg in data här för kemikalier'!G83</f>
        <v>0</v>
      </c>
      <c r="J87" s="87">
        <f>'Lägg in data här för kemikalier'!D83*'Lägg in data här för kemikalier'!E83*'Lägg in data här för kemikalier'!H83</f>
        <v>0</v>
      </c>
      <c r="K87" s="28"/>
      <c r="L87" s="28"/>
    </row>
    <row r="88" spans="3:12" ht="30" customHeight="1" x14ac:dyDescent="0.25">
      <c r="C88" s="58" t="str">
        <f>'Lägg in data här för kemikalier'!C40</f>
        <v>PAC (PAX-XL100)</v>
      </c>
      <c r="D88" s="87">
        <f>'Lägg in data här för kemikalier'!D40*'Lägg in data här för kemikalier'!G40</f>
        <v>0</v>
      </c>
      <c r="E88" s="87">
        <f>'Lägg in data här för kemikalier'!D40*'Lägg in data här för kemikalier'!E40*'Lägg in data här för kemikalier'!H40</f>
        <v>0</v>
      </c>
      <c r="F88" s="70"/>
      <c r="H88" s="58" t="str">
        <f>'Lägg in data här för kemikalier'!C84</f>
        <v>Salpetersyra (60%)</v>
      </c>
      <c r="I88" s="87">
        <f>'Lägg in data här för kemikalier'!D84*'Lägg in data här för kemikalier'!G84</f>
        <v>0</v>
      </c>
      <c r="J88" s="87">
        <f>'Lägg in data här för kemikalier'!D84*'Lägg in data här för kemikalier'!E84*'Lägg in data här för kemikalier'!H84</f>
        <v>0</v>
      </c>
      <c r="K88" s="28"/>
      <c r="L88" s="28"/>
    </row>
    <row r="89" spans="3:12" ht="30" customHeight="1" x14ac:dyDescent="0.25">
      <c r="C89" s="103" t="str">
        <f>'Lägg in data här för kemikalier'!C41</f>
        <v>Annan</v>
      </c>
      <c r="D89" s="87">
        <f>'Lägg in data här för kemikalier'!D41*'Lägg in data här för kemikalier'!G41</f>
        <v>0</v>
      </c>
      <c r="E89" s="87">
        <f>'Lägg in data här för kemikalier'!D41*'Lägg in data här för kemikalier'!E41*'Lägg in data här för kemikalier'!H41</f>
        <v>0</v>
      </c>
      <c r="F89" s="70"/>
      <c r="H89" s="58" t="str">
        <f>'Lägg in data här för kemikalier'!C85</f>
        <v>Beläggningshämmare, 
Vitec 1141</v>
      </c>
      <c r="I89" s="87">
        <f>'Lägg in data här för kemikalier'!D85*'Lägg in data här för kemikalier'!G85</f>
        <v>0</v>
      </c>
      <c r="J89" s="87">
        <f>'Lägg in data här för kemikalier'!D85*'Lägg in data här för kemikalier'!E85*'Lägg in data här för kemikalier'!H85</f>
        <v>0</v>
      </c>
    </row>
    <row r="90" spans="3:12" ht="30" customHeight="1" x14ac:dyDescent="0.25">
      <c r="C90" s="103" t="str">
        <f>'Lägg in data här för kemikalier'!C42</f>
        <v>Annan</v>
      </c>
      <c r="D90" s="87">
        <f>'Lägg in data här för kemikalier'!D42*'Lägg in data här för kemikalier'!G42</f>
        <v>0</v>
      </c>
      <c r="E90" s="87">
        <f>'Lägg in data här för kemikalier'!D42*'Lägg in data här för kemikalier'!E42*'Lägg in data här för kemikalier'!H42</f>
        <v>0</v>
      </c>
      <c r="F90" s="70"/>
      <c r="H90" s="58" t="str">
        <f>'Lägg in data här för kemikalier'!C86</f>
        <v>Oxalsyra</v>
      </c>
      <c r="I90" s="87">
        <f>'Lägg in data här för kemikalier'!D86*'Lägg in data här för kemikalier'!G86</f>
        <v>0</v>
      </c>
      <c r="J90" s="87">
        <f>'Lägg in data här för kemikalier'!D86*'Lägg in data här för kemikalier'!E86*'Lägg in data här för kemikalier'!H86</f>
        <v>0</v>
      </c>
    </row>
    <row r="91" spans="3:12" ht="30" customHeight="1" x14ac:dyDescent="0.25">
      <c r="F91" s="70"/>
      <c r="H91" s="58" t="str">
        <f>'Lägg in data här för kemikalier'!C87</f>
        <v>Citronsyra</v>
      </c>
      <c r="I91" s="87">
        <f>'Lägg in data här för kemikalier'!D87*'Lägg in data här för kemikalier'!G87</f>
        <v>0</v>
      </c>
      <c r="J91" s="87">
        <f>'Lägg in data här för kemikalier'!D87*'Lägg in data här för kemikalier'!E87*'Lägg in data här för kemikalier'!H87</f>
        <v>0</v>
      </c>
    </row>
    <row r="92" spans="3:12" ht="30" customHeight="1" x14ac:dyDescent="0.25">
      <c r="C92" s="78" t="s">
        <v>307</v>
      </c>
      <c r="D92" s="55" t="s">
        <v>197</v>
      </c>
      <c r="E92" s="55" t="s">
        <v>196</v>
      </c>
      <c r="F92" s="70"/>
      <c r="H92" s="58" t="str">
        <f>'Lägg in data här för kemikalier'!C88</f>
        <v>Syrgas</v>
      </c>
      <c r="I92" s="87">
        <f>'Lägg in data här för kemikalier'!D88*'Lägg in data här för kemikalier'!G88</f>
        <v>0</v>
      </c>
      <c r="J92" s="87">
        <f>'Lägg in data här för kemikalier'!D88*'Lägg in data här för kemikalier'!E88*'Lägg in data här för kemikalier'!H88</f>
        <v>0</v>
      </c>
    </row>
    <row r="93" spans="3:12" ht="30" customHeight="1" x14ac:dyDescent="0.25">
      <c r="C93" s="101" t="str">
        <f>'Lägg in data här för kemikalier'!C48</f>
        <v>Polyakrylamid (fast produkt)</v>
      </c>
      <c r="D93" s="87">
        <f>'Lägg in data här för kemikalier'!D48*'Lägg in data här för kemikalier'!G48</f>
        <v>0</v>
      </c>
      <c r="E93" s="87">
        <f>'Lägg in data här för kemikalier'!D48*'Lägg in data här för kemikalier'!E48*'Lägg in data här för kemikalier'!H48</f>
        <v>0</v>
      </c>
      <c r="F93" s="70"/>
      <c r="H93" s="58" t="str">
        <f>'Lägg in data här för kemikalier'!C89</f>
        <v>Koldioxid</v>
      </c>
      <c r="I93" s="87">
        <f>'Lägg in data här för kemikalier'!D89*'Lägg in data här för kemikalier'!G89</f>
        <v>0</v>
      </c>
      <c r="J93" s="87">
        <f>'Lägg in data här för kemikalier'!D89*'Lägg in data här för kemikalier'!E89*'Lägg in data här för kemikalier'!H89</f>
        <v>0</v>
      </c>
    </row>
    <row r="94" spans="3:12" ht="30" customHeight="1" x14ac:dyDescent="0.25">
      <c r="C94" s="141" t="str">
        <f>'Lägg in data här för kemikalier'!C49</f>
        <v>Annan</v>
      </c>
      <c r="D94" s="87">
        <f>'Lägg in data här för kemikalier'!D49*'Lägg in data här för kemikalier'!G49</f>
        <v>0</v>
      </c>
      <c r="E94" s="87">
        <f>'Lägg in data här för kemikalier'!D49*'Lägg in data här för kemikalier'!E49*'Lägg in data här för kemikalier'!H49</f>
        <v>0</v>
      </c>
      <c r="F94" s="70"/>
      <c r="H94" s="58" t="str">
        <f>'Lägg in data här för kemikalier'!C90</f>
        <v>Ammoniumsulfat</v>
      </c>
      <c r="I94" s="87">
        <f>'Lägg in data här för kemikalier'!D90*'Lägg in data här för kemikalier'!G90</f>
        <v>0</v>
      </c>
      <c r="J94" s="87">
        <f>'Lägg in data här för kemikalier'!D90*'Lägg in data här för kemikalier'!E90*'Lägg in data här för kemikalier'!H90</f>
        <v>0</v>
      </c>
    </row>
    <row r="95" spans="3:12" ht="30" customHeight="1" x14ac:dyDescent="0.25">
      <c r="C95" s="141" t="str">
        <f>'Lägg in data här för kemikalier'!C50</f>
        <v>Annan</v>
      </c>
      <c r="D95" s="87">
        <f>'Lägg in data här för kemikalier'!D50*'Lägg in data här för kemikalier'!G50</f>
        <v>0</v>
      </c>
      <c r="E95" s="87">
        <f>'Lägg in data här för kemikalier'!D50*'Lägg in data här för kemikalier'!E50*'Lägg in data här för kemikalier'!H50</f>
        <v>0</v>
      </c>
      <c r="F95" s="70"/>
      <c r="H95" s="58" t="str">
        <f>'Lägg in data här för kemikalier'!C91</f>
        <v>Natriumsilikat</v>
      </c>
      <c r="I95" s="87">
        <f>'Lägg in data här för kemikalier'!D91*'Lägg in data här för kemikalier'!G91</f>
        <v>0</v>
      </c>
      <c r="J95" s="87">
        <f>'Lägg in data här för kemikalier'!D91*'Lägg in data här för kemikalier'!E91*'Lägg in data här för kemikalier'!H91</f>
        <v>0</v>
      </c>
    </row>
    <row r="96" spans="3:12" ht="30" customHeight="1" x14ac:dyDescent="0.25">
      <c r="C96" s="239"/>
      <c r="D96" s="92"/>
      <c r="E96" s="92"/>
      <c r="F96" s="70"/>
      <c r="H96" s="58" t="str">
        <f>'Lägg in data här för kemikalier'!C92</f>
        <v>Natriumkarbonat</v>
      </c>
      <c r="I96" s="87">
        <f>'Lägg in data här för kemikalier'!D92*'Lägg in data här för kemikalier'!G92</f>
        <v>0</v>
      </c>
      <c r="J96" s="87">
        <f>'Lägg in data här för kemikalier'!D92*'Lägg in data här för kemikalier'!E92*'Lägg in data här för kemikalier'!H92</f>
        <v>0</v>
      </c>
    </row>
    <row r="97" spans="3:10" ht="30" customHeight="1" x14ac:dyDescent="0.25">
      <c r="C97" s="78" t="s">
        <v>560</v>
      </c>
      <c r="D97" s="168" t="s">
        <v>561</v>
      </c>
      <c r="E97" s="55" t="s">
        <v>196</v>
      </c>
      <c r="F97" s="70"/>
      <c r="H97" s="58" t="str">
        <f>'Lägg in data här för kemikalier'!C93</f>
        <v>Natriumbisulfit</v>
      </c>
      <c r="I97" s="87">
        <f>'Lägg in data här för kemikalier'!D93*'Lägg in data här för kemikalier'!G93</f>
        <v>0</v>
      </c>
      <c r="J97" s="87">
        <f>'Lägg in data här för kemikalier'!D93*'Lägg in data här för kemikalier'!E93*'Lägg in data här för kemikalier'!H93</f>
        <v>0</v>
      </c>
    </row>
    <row r="98" spans="3:10" ht="30" customHeight="1" x14ac:dyDescent="0.25">
      <c r="C98" s="101" t="str">
        <f>'Lägg in data här för kemikalier'!C106</f>
        <v>UF från nx filtration</v>
      </c>
      <c r="D98" s="112">
        <f>'Lägg in data här för kemikalier'!D106*'Lägg in data här för kemikalier'!G106</f>
        <v>0</v>
      </c>
      <c r="E98" s="112">
        <f>'Lägg in data här för kemikalier'!D106*Referenser!C97*'Lägg in data här för kemikalier'!E106*'Lägg in data här för kemikalier'!H106</f>
        <v>0</v>
      </c>
      <c r="F98" s="70"/>
      <c r="H98" s="58" t="str">
        <f>'Lägg in data här för kemikalier'!C94</f>
        <v>Kalciumnitrat</v>
      </c>
      <c r="I98" s="87">
        <f>'Lägg in data här för kemikalier'!D94*'Lägg in data här för kemikalier'!G94</f>
        <v>0</v>
      </c>
      <c r="J98" s="87">
        <f>'Lägg in data här för kemikalier'!D94*'Lägg in data här för kemikalier'!E94*'Lägg in data här för kemikalier'!H94</f>
        <v>0</v>
      </c>
    </row>
    <row r="99" spans="3:10" ht="30" customHeight="1" x14ac:dyDescent="0.25">
      <c r="C99" s="101" t="str">
        <f>'Lägg in data här för kemikalier'!C107</f>
        <v>XF75 från Pentair</v>
      </c>
      <c r="D99" s="112">
        <f>'Lägg in data här för kemikalier'!D107*'Lägg in data här för kemikalier'!G107</f>
        <v>0</v>
      </c>
      <c r="E99" s="112">
        <f>'Lägg in data här för kemikalier'!D107*Referenser!C97*'Lägg in data här för kemikalier'!E107*'Lägg in data här för kemikalier'!H107</f>
        <v>0</v>
      </c>
      <c r="F99" s="70"/>
      <c r="H99" s="103" t="str">
        <f>'Lägg in data här för kemikalier'!C95</f>
        <v>Annan</v>
      </c>
      <c r="I99" s="87">
        <f>'Lägg in data här för kemikalier'!D95*'Lägg in data här för kemikalier'!G95</f>
        <v>0</v>
      </c>
      <c r="J99" s="87">
        <f>'Lägg in data här för kemikalier'!D95*'Lägg in data här för kemikalier'!E95*'Lägg in data här för kemikalier'!H95</f>
        <v>0</v>
      </c>
    </row>
    <row r="100" spans="3:10" ht="30" customHeight="1" x14ac:dyDescent="0.25">
      <c r="C100" s="101" t="str">
        <f>'Lägg in data här för kemikalier'!C108</f>
        <v>HFW1000 från Pentair</v>
      </c>
      <c r="D100" s="112">
        <f>'Lägg in data här för kemikalier'!D108*'Lägg in data här för kemikalier'!G108</f>
        <v>0</v>
      </c>
      <c r="E100" s="112">
        <f>'Lägg in data här för kemikalier'!D108*Referenser!C97*'Lägg in data här för kemikalier'!E108*'Lägg in data här för kemikalier'!H108</f>
        <v>0</v>
      </c>
      <c r="F100" s="70"/>
      <c r="H100" s="103" t="str">
        <f>'Lägg in data här för kemikalier'!C96</f>
        <v>Annan</v>
      </c>
      <c r="I100" s="87">
        <f>'Lägg in data här för kemikalier'!D96*'Lägg in data här för kemikalier'!G96</f>
        <v>0</v>
      </c>
      <c r="J100" s="87">
        <f>'Lägg in data här för kemikalier'!D96*'Lägg in data här för kemikalier'!E96*'Lägg in data här för kemikalier'!H96</f>
        <v>0</v>
      </c>
    </row>
    <row r="101" spans="3:10" ht="30" customHeight="1" x14ac:dyDescent="0.25">
      <c r="C101" s="141" t="str">
        <f>'Lägg in data här för kemikalier'!C109</f>
        <v>Annan</v>
      </c>
      <c r="D101" s="112">
        <f>'Lägg in data här för kemikalier'!D109*'Lägg in data här för kemikalier'!G109</f>
        <v>0</v>
      </c>
      <c r="E101" s="112">
        <f>'Lägg in data här för kemikalier'!D109*Referenser!C97*'Lägg in data här för kemikalier'!E109*'Lägg in data här för kemikalier'!H109</f>
        <v>0</v>
      </c>
      <c r="F101" s="70"/>
      <c r="H101" s="103" t="str">
        <f>'Lägg in data här för kemikalier'!C97</f>
        <v>Annan</v>
      </c>
      <c r="I101" s="87">
        <f>'Lägg in data här för kemikalier'!D97*'Lägg in data här för kemikalier'!G97</f>
        <v>0</v>
      </c>
      <c r="J101" s="87">
        <f>'Lägg in data här för kemikalier'!D97*'Lägg in data här för kemikalier'!E97*'Lägg in data här för kemikalier'!H97</f>
        <v>0</v>
      </c>
    </row>
    <row r="102" spans="3:10" ht="30" customHeight="1" x14ac:dyDescent="0.25">
      <c r="C102" s="141" t="str">
        <f>'Lägg in data här för kemikalier'!C110</f>
        <v>Annan</v>
      </c>
      <c r="D102" s="112">
        <f>'Lägg in data här för kemikalier'!D110*'Lägg in data här för kemikalier'!G110</f>
        <v>0</v>
      </c>
      <c r="E102" s="112">
        <f>'Lägg in data här för kemikalier'!D110*Referenser!C97*'Lägg in data här för kemikalier'!E110*'Lägg in data här för kemikalier'!H110</f>
        <v>0</v>
      </c>
      <c r="F102" s="70"/>
      <c r="H102" s="103" t="str">
        <f>'Lägg in data här för kemikalier'!C98</f>
        <v>Annan</v>
      </c>
      <c r="I102" s="87">
        <f>'Lägg in data här för kemikalier'!D98*'Lägg in data här för kemikalier'!G98</f>
        <v>0</v>
      </c>
      <c r="J102" s="87">
        <f>'Lägg in data här för kemikalier'!D98*'Lägg in data här för kemikalier'!E98*'Lägg in data här för kemikalier'!H98</f>
        <v>0</v>
      </c>
    </row>
    <row r="103" spans="3:10" ht="30" customHeight="1" x14ac:dyDescent="0.25">
      <c r="C103" s="239"/>
      <c r="D103" s="92"/>
      <c r="E103" s="92"/>
      <c r="F103" s="70"/>
    </row>
    <row r="104" spans="3:10" ht="30" customHeight="1" x14ac:dyDescent="0.25">
      <c r="C104" s="78" t="s">
        <v>562</v>
      </c>
      <c r="D104" s="168" t="s">
        <v>561</v>
      </c>
      <c r="E104" s="55" t="s">
        <v>196</v>
      </c>
      <c r="F104" s="70"/>
    </row>
    <row r="105" spans="3:10" ht="30" customHeight="1" x14ac:dyDescent="0.25">
      <c r="C105" s="101" t="str">
        <f>'Lägg in data här för kemikalier'!C115</f>
        <v>NF från nx filtration</v>
      </c>
      <c r="D105" s="87">
        <f>'Lägg in data här för kemikalier'!D115*'Lägg in data här för kemikalier'!G115</f>
        <v>0</v>
      </c>
      <c r="E105" s="87">
        <f>'Lägg in data här för kemikalier'!D115*Referenser!C97*'Lägg in data här för kemikalier'!E115*'Lägg in data här för kemikalier'!H115</f>
        <v>0</v>
      </c>
      <c r="F105" s="70"/>
    </row>
    <row r="106" spans="3:10" ht="30" customHeight="1" x14ac:dyDescent="0.25">
      <c r="C106" s="101" t="str">
        <f>'Lägg in data här för kemikalier'!C116</f>
        <v>N64 från Pentair</v>
      </c>
      <c r="D106" s="87">
        <f>'Lägg in data här för kemikalier'!D116*'Lägg in data här för kemikalier'!G116</f>
        <v>0</v>
      </c>
      <c r="E106" s="87">
        <f>'Lägg in data här för kemikalier'!D116*Referenser!C97*'Lägg in data här för kemikalier'!E116*'Lägg in data här för kemikalier'!H116</f>
        <v>0</v>
      </c>
      <c r="F106" s="70"/>
    </row>
    <row r="107" spans="3:10" ht="30" customHeight="1" x14ac:dyDescent="0.25">
      <c r="C107" s="141" t="str">
        <f>'Lägg in data här för kemikalier'!C117</f>
        <v>Annan</v>
      </c>
      <c r="D107" s="87">
        <f>'Lägg in data här för kemikalier'!D117*'Lägg in data här för kemikalier'!G117</f>
        <v>0</v>
      </c>
      <c r="E107" s="87">
        <f>'Lägg in data här för kemikalier'!D117*Referenser!C97*'Lägg in data här för kemikalier'!E117*'Lägg in data här för kemikalier'!H117</f>
        <v>0</v>
      </c>
      <c r="F107" s="70"/>
    </row>
    <row r="108" spans="3:10" ht="30" customHeight="1" x14ac:dyDescent="0.25">
      <c r="C108" s="141" t="str">
        <f>'Lägg in data här för kemikalier'!C118</f>
        <v>Annan</v>
      </c>
      <c r="D108" s="87">
        <f>'Lägg in data här för kemikalier'!D118*'Lägg in data här för kemikalier'!G118</f>
        <v>0</v>
      </c>
      <c r="E108" s="87">
        <f>'Lägg in data här för kemikalier'!D118*Referenser!C97*'Lägg in data här för kemikalier'!E118*'Lägg in data här för kemikalier'!H118</f>
        <v>0</v>
      </c>
      <c r="F108" s="70"/>
    </row>
    <row r="109" spans="3:10" ht="30" customHeight="1" x14ac:dyDescent="0.25">
      <c r="C109" s="239"/>
      <c r="D109" s="92"/>
      <c r="E109" s="92"/>
      <c r="F109" s="70"/>
    </row>
    <row r="110" spans="3:10" ht="30" customHeight="1" x14ac:dyDescent="0.25">
      <c r="C110" s="78" t="s">
        <v>563</v>
      </c>
      <c r="D110" s="168" t="s">
        <v>561</v>
      </c>
      <c r="E110" s="55" t="s">
        <v>196</v>
      </c>
      <c r="F110" s="70"/>
    </row>
    <row r="111" spans="3:10" ht="30" customHeight="1" x14ac:dyDescent="0.25">
      <c r="C111" s="101" t="str">
        <f>'Lägg in data här för kemikalier'!C123</f>
        <v>RO från nx filtration</v>
      </c>
      <c r="D111" s="87">
        <f>'Lägg in data här för kemikalier'!D123*'Lägg in data här för kemikalier'!G123</f>
        <v>0</v>
      </c>
      <c r="E111" s="87">
        <f>'Lägg in data här för kemikalier'!D123*Referenser!C97*'Lägg in data här för kemikalier'!E123*'Lägg in data här för kemikalier'!H123</f>
        <v>0</v>
      </c>
      <c r="F111" s="70"/>
    </row>
    <row r="112" spans="3:10" ht="30" customHeight="1" x14ac:dyDescent="0.25">
      <c r="C112" s="141" t="str">
        <f>'Lägg in data här för kemikalier'!C124</f>
        <v>Annan</v>
      </c>
      <c r="D112" s="87">
        <f>'Lägg in data här för kemikalier'!D124*'Lägg in data här för kemikalier'!G124</f>
        <v>0</v>
      </c>
      <c r="E112" s="87">
        <f>'Lägg in data här för kemikalier'!D124*Referenser!C97*'Lägg in data här för kemikalier'!E124*'Lägg in data här för kemikalier'!H124</f>
        <v>0</v>
      </c>
      <c r="F112" s="70"/>
    </row>
    <row r="113" spans="3:12" ht="30" customHeight="1" x14ac:dyDescent="0.25">
      <c r="C113" s="141" t="str">
        <f>'Lägg in data här för kemikalier'!C125</f>
        <v>Annan</v>
      </c>
      <c r="D113" s="87">
        <f>'Lägg in data här för kemikalier'!D125*'Lägg in data här för kemikalier'!G125</f>
        <v>0</v>
      </c>
      <c r="E113" s="87">
        <f>'Lägg in data här för kemikalier'!D125*Referenser!C97*'Lägg in data här för kemikalier'!E125*'Lägg in data här för kemikalier'!H125</f>
        <v>0</v>
      </c>
      <c r="F113" s="70"/>
    </row>
    <row r="114" spans="3:12" ht="30" customHeight="1" x14ac:dyDescent="0.25">
      <c r="C114" s="239"/>
      <c r="D114" s="92"/>
      <c r="E114" s="92"/>
      <c r="F114" s="70"/>
    </row>
    <row r="115" spans="3:12" ht="30" customHeight="1" x14ac:dyDescent="0.25">
      <c r="C115" s="239"/>
      <c r="D115" s="92"/>
      <c r="E115" s="92"/>
      <c r="F115" s="70"/>
    </row>
    <row r="116" spans="3:12" ht="30" customHeight="1" x14ac:dyDescent="0.25">
      <c r="F116" s="70"/>
      <c r="K116" s="68"/>
      <c r="L116" s="68"/>
    </row>
    <row r="117" spans="3:12" ht="30" hidden="1" customHeight="1" x14ac:dyDescent="0.25">
      <c r="F117" s="70"/>
      <c r="K117" s="68"/>
      <c r="L117" s="68"/>
    </row>
    <row r="118" spans="3:12" ht="30" hidden="1" customHeight="1" x14ac:dyDescent="0.25">
      <c r="F118" s="70"/>
      <c r="K118" s="70"/>
      <c r="L118" s="70"/>
    </row>
    <row r="119" spans="3:12" ht="30" hidden="1" customHeight="1" x14ac:dyDescent="0.25">
      <c r="F119" s="70"/>
      <c r="K119" s="70"/>
      <c r="L119" s="70"/>
    </row>
    <row r="120" spans="3:12" ht="30" hidden="1" customHeight="1" x14ac:dyDescent="0.25">
      <c r="F120" s="70"/>
      <c r="K120" s="70"/>
      <c r="L120" s="70"/>
    </row>
    <row r="121" spans="3:12" ht="30" hidden="1" customHeight="1" x14ac:dyDescent="0.25">
      <c r="F121" s="70"/>
      <c r="K121" s="70"/>
      <c r="L121" s="70"/>
    </row>
    <row r="122" spans="3:12" ht="30" hidden="1" customHeight="1" x14ac:dyDescent="0.25">
      <c r="F122" s="70"/>
      <c r="K122" s="70"/>
      <c r="L122" s="70"/>
    </row>
    <row r="123" spans="3:12" ht="30" hidden="1" customHeight="1" x14ac:dyDescent="0.25">
      <c r="F123" s="70"/>
      <c r="K123" s="70"/>
      <c r="L123" s="70"/>
    </row>
    <row r="124" spans="3:12" ht="30" hidden="1" customHeight="1" x14ac:dyDescent="0.25">
      <c r="F124" s="70"/>
      <c r="K124" s="70"/>
      <c r="L124" s="70"/>
    </row>
    <row r="125" spans="3:12" ht="30" hidden="1" customHeight="1" x14ac:dyDescent="0.25">
      <c r="F125" s="70"/>
      <c r="K125" s="70"/>
      <c r="L125" s="70"/>
    </row>
    <row r="126" spans="3:12" ht="30" hidden="1" customHeight="1" x14ac:dyDescent="0.25">
      <c r="F126" s="70"/>
      <c r="K126" s="70"/>
      <c r="L126" s="70"/>
    </row>
    <row r="127" spans="3:12" ht="30" hidden="1" customHeight="1" x14ac:dyDescent="0.25">
      <c r="F127" s="70"/>
      <c r="K127" s="70"/>
      <c r="L127" s="70"/>
    </row>
    <row r="128" spans="3:12" ht="30" hidden="1" customHeight="1" x14ac:dyDescent="0.25">
      <c r="F128" s="70"/>
      <c r="K128" s="70"/>
      <c r="L128" s="70"/>
    </row>
    <row r="129" spans="6:12" ht="30" hidden="1" customHeight="1" x14ac:dyDescent="0.25">
      <c r="F129" s="70"/>
      <c r="K129" s="70"/>
      <c r="L129" s="70"/>
    </row>
    <row r="130" spans="6:12" ht="30" hidden="1" customHeight="1" x14ac:dyDescent="0.25">
      <c r="F130" s="70"/>
      <c r="K130" s="70"/>
      <c r="L130" s="70"/>
    </row>
    <row r="131" spans="6:12" ht="30" hidden="1" customHeight="1" x14ac:dyDescent="0.25">
      <c r="F131" s="70"/>
      <c r="K131" s="70"/>
      <c r="L131" s="70"/>
    </row>
    <row r="132" spans="6:12" ht="30" hidden="1" customHeight="1" x14ac:dyDescent="0.25">
      <c r="F132" s="70"/>
      <c r="K132" s="70"/>
      <c r="L132" s="70"/>
    </row>
    <row r="133" spans="6:12" ht="30" hidden="1" customHeight="1" x14ac:dyDescent="0.25">
      <c r="F133" s="70"/>
      <c r="K133" s="70"/>
      <c r="L133" s="70"/>
    </row>
    <row r="134" spans="6:12" ht="30" hidden="1" customHeight="1" x14ac:dyDescent="0.25">
      <c r="F134" s="70"/>
      <c r="K134" s="70"/>
      <c r="L134" s="70"/>
    </row>
    <row r="135" spans="6:12" ht="30" hidden="1" customHeight="1" x14ac:dyDescent="0.25">
      <c r="F135" s="70"/>
      <c r="K135" s="70"/>
      <c r="L135" s="70"/>
    </row>
    <row r="136" spans="6:12" ht="30" hidden="1" customHeight="1" x14ac:dyDescent="0.25">
      <c r="F136" s="70"/>
      <c r="K136" s="70"/>
      <c r="L136" s="70"/>
    </row>
    <row r="137" spans="6:12" ht="30" hidden="1" customHeight="1" x14ac:dyDescent="0.25">
      <c r="F137" s="70"/>
      <c r="K137" s="70"/>
      <c r="L137" s="70"/>
    </row>
    <row r="138" spans="6:12" ht="30" hidden="1" customHeight="1" x14ac:dyDescent="0.25">
      <c r="F138" s="70"/>
    </row>
    <row r="139" spans="6:12" ht="30" hidden="1" customHeight="1" x14ac:dyDescent="0.25">
      <c r="F139" s="70"/>
      <c r="G139" s="56" t="str">
        <f>'Lägg in data här för kemikalier'!C16</f>
        <v>Annan</v>
      </c>
      <c r="H139" s="71">
        <f>'Lägg in data här för kemikalier'!D16*'Lägg in data här för kemikalier'!G16</f>
        <v>0</v>
      </c>
      <c r="I139" s="60" t="e">
        <f>'Lägg in data här'!#REF!*'Lägg in data här'!#REF!</f>
        <v>#REF!</v>
      </c>
      <c r="J139" s="71" t="e">
        <f>'Lägg in data här för kemikalier'!#REF!*'Lägg in data här för kemikalier'!I16</f>
        <v>#REF!</v>
      </c>
      <c r="K139" s="70"/>
      <c r="L139" s="70"/>
    </row>
    <row r="140" spans="6:12" ht="30" hidden="1" customHeight="1" x14ac:dyDescent="0.25">
      <c r="F140" s="70"/>
      <c r="G140" s="63"/>
      <c r="H140" s="70"/>
      <c r="I140" s="28"/>
      <c r="J140" s="70"/>
      <c r="K140" s="70"/>
      <c r="L140" s="70"/>
    </row>
    <row r="141" spans="6:12" ht="30" hidden="1" customHeight="1" x14ac:dyDescent="0.25">
      <c r="F141" s="70"/>
      <c r="G141" s="70"/>
    </row>
    <row r="142" spans="6:12" ht="30" hidden="1" customHeight="1" x14ac:dyDescent="0.25">
      <c r="F142" s="70"/>
      <c r="G142" s="70"/>
    </row>
    <row r="143" spans="6:12" ht="30" hidden="1" customHeight="1" x14ac:dyDescent="0.25">
      <c r="F143" s="70"/>
      <c r="G143" s="70"/>
    </row>
    <row r="144" spans="6:12" ht="30" hidden="1" customHeight="1" x14ac:dyDescent="0.25">
      <c r="F144" s="70"/>
      <c r="G144" s="70"/>
    </row>
    <row r="145" spans="3:12" ht="30" hidden="1" customHeight="1" x14ac:dyDescent="0.25">
      <c r="F145" s="70"/>
      <c r="G145" s="70"/>
    </row>
    <row r="146" spans="3:12" ht="30" hidden="1" customHeight="1" x14ac:dyDescent="0.25">
      <c r="F146" s="70"/>
      <c r="G146" s="25"/>
      <c r="H146" s="31"/>
      <c r="I146" s="31"/>
      <c r="J146" s="31"/>
      <c r="K146" s="31"/>
      <c r="L146" s="31"/>
    </row>
    <row r="147" spans="3:12" ht="30" hidden="1" customHeight="1" x14ac:dyDescent="0.25">
      <c r="F147" s="70"/>
      <c r="G147" s="25"/>
      <c r="H147" s="31"/>
      <c r="I147" s="31"/>
      <c r="J147" s="31"/>
      <c r="K147" s="31"/>
      <c r="L147" s="31"/>
    </row>
    <row r="148" spans="3:12" ht="30" hidden="1" customHeight="1" x14ac:dyDescent="0.25">
      <c r="C148" s="70"/>
      <c r="D148" s="70"/>
      <c r="E148" s="70"/>
      <c r="F148" s="70"/>
      <c r="G148" s="25"/>
      <c r="H148" s="31"/>
      <c r="I148" s="31"/>
      <c r="J148" s="31"/>
      <c r="K148" s="31"/>
      <c r="L148" s="31"/>
    </row>
    <row r="149" spans="3:12" ht="30" hidden="1" customHeight="1" x14ac:dyDescent="0.25">
      <c r="C149" s="70"/>
      <c r="D149" s="70"/>
      <c r="E149" s="70"/>
      <c r="F149" s="70"/>
      <c r="G149" s="25"/>
      <c r="H149" s="31"/>
      <c r="I149" s="31"/>
      <c r="J149" s="31"/>
      <c r="K149" s="31"/>
      <c r="L149" s="31"/>
    </row>
    <row r="150" spans="3:12" ht="30" hidden="1" customHeight="1" x14ac:dyDescent="0.25">
      <c r="C150" s="70"/>
      <c r="D150" s="70"/>
      <c r="E150" s="70"/>
      <c r="F150" s="70"/>
      <c r="G150" s="25"/>
      <c r="H150" s="31"/>
      <c r="I150" s="31"/>
      <c r="J150" s="31"/>
      <c r="K150" s="31"/>
      <c r="L150" s="31"/>
    </row>
    <row r="151" spans="3:12" ht="30" hidden="1" customHeight="1" x14ac:dyDescent="0.25">
      <c r="C151" s="70"/>
      <c r="D151" s="70"/>
      <c r="E151" s="70"/>
      <c r="F151" s="70"/>
      <c r="G151" s="25"/>
      <c r="H151" s="31"/>
      <c r="I151" s="31"/>
      <c r="J151" s="31"/>
      <c r="K151" s="31"/>
      <c r="L151" s="31"/>
    </row>
    <row r="152" spans="3:12" ht="30" hidden="1" customHeight="1" x14ac:dyDescent="0.25">
      <c r="C152" s="70"/>
      <c r="D152" s="70"/>
      <c r="E152" s="70"/>
      <c r="F152" s="70"/>
      <c r="G152" s="25"/>
      <c r="H152" s="31"/>
      <c r="I152" s="31"/>
      <c r="J152" s="31"/>
      <c r="K152" s="31"/>
      <c r="L152" s="31"/>
    </row>
    <row r="153" spans="3:12" ht="30" hidden="1" customHeight="1" x14ac:dyDescent="0.25">
      <c r="C153" s="70"/>
      <c r="D153" s="70"/>
      <c r="E153" s="70"/>
      <c r="F153" s="70"/>
      <c r="G153" s="25"/>
      <c r="H153" s="31"/>
      <c r="I153" s="31"/>
      <c r="J153" s="31"/>
      <c r="K153" s="31"/>
      <c r="L153" s="31"/>
    </row>
    <row r="154" spans="3:12" ht="30" hidden="1" customHeight="1" x14ac:dyDescent="0.25">
      <c r="C154" s="70"/>
      <c r="D154" s="70"/>
      <c r="E154" s="70"/>
      <c r="F154" s="70"/>
      <c r="G154" s="25"/>
      <c r="H154" s="31"/>
      <c r="I154" s="31"/>
      <c r="J154" s="31"/>
      <c r="K154" s="31"/>
      <c r="L154" s="31"/>
    </row>
    <row r="155" spans="3:12" ht="30" hidden="1" customHeight="1" x14ac:dyDescent="0.25">
      <c r="C155" s="70"/>
      <c r="D155" s="70"/>
      <c r="E155" s="70"/>
      <c r="F155" s="70"/>
      <c r="G155" s="25"/>
      <c r="H155" s="31"/>
      <c r="I155" s="31"/>
      <c r="J155" s="31"/>
      <c r="K155" s="31"/>
      <c r="L155" s="31"/>
    </row>
    <row r="156" spans="3:12" ht="30" hidden="1" customHeight="1" x14ac:dyDescent="0.25">
      <c r="C156" s="70"/>
      <c r="D156" s="70"/>
      <c r="E156" s="70"/>
      <c r="F156" s="70"/>
      <c r="G156" s="25"/>
      <c r="H156" s="31"/>
      <c r="I156" s="31"/>
      <c r="J156" s="31"/>
      <c r="K156" s="31"/>
      <c r="L156" s="31"/>
    </row>
    <row r="157" spans="3:12" ht="30" hidden="1" customHeight="1" x14ac:dyDescent="0.25">
      <c r="C157" s="70"/>
      <c r="D157" s="70"/>
      <c r="E157" s="70"/>
      <c r="F157" s="70"/>
      <c r="G157" s="25"/>
      <c r="H157" s="31"/>
      <c r="I157" s="31"/>
      <c r="J157" s="31"/>
      <c r="K157" s="31"/>
      <c r="L157" s="31"/>
    </row>
    <row r="158" spans="3:12" ht="30" hidden="1" customHeight="1" x14ac:dyDescent="0.25">
      <c r="C158" s="70"/>
      <c r="D158" s="70"/>
      <c r="E158" s="70"/>
      <c r="F158" s="70"/>
      <c r="G158" s="25"/>
      <c r="H158" s="31"/>
      <c r="I158" s="31"/>
      <c r="J158" s="31"/>
      <c r="K158" s="31"/>
      <c r="L158" s="31"/>
    </row>
    <row r="159" spans="3:12" ht="30" hidden="1" customHeight="1" x14ac:dyDescent="0.25">
      <c r="C159" s="70"/>
      <c r="D159" s="70"/>
      <c r="E159" s="70"/>
      <c r="F159" s="70"/>
      <c r="G159" s="25"/>
      <c r="H159" s="31"/>
      <c r="I159" s="31"/>
      <c r="J159" s="31"/>
      <c r="K159" s="31"/>
      <c r="L159" s="31"/>
    </row>
    <row r="160" spans="3:12" ht="30" hidden="1" customHeight="1" x14ac:dyDescent="0.25">
      <c r="C160" s="70"/>
      <c r="D160" s="70"/>
      <c r="E160" s="70"/>
      <c r="F160" s="70"/>
      <c r="G160" s="25"/>
      <c r="H160" s="31"/>
      <c r="I160" s="31"/>
      <c r="J160" s="31"/>
      <c r="K160" s="31"/>
      <c r="L160" s="31"/>
    </row>
    <row r="161" spans="3:12" ht="30" hidden="1" customHeight="1" x14ac:dyDescent="0.25">
      <c r="C161" s="70"/>
      <c r="D161" s="70"/>
      <c r="E161" s="70"/>
      <c r="F161" s="70"/>
      <c r="G161" s="25"/>
      <c r="H161" s="31"/>
      <c r="I161" s="31"/>
      <c r="J161" s="31"/>
      <c r="K161" s="31"/>
      <c r="L161" s="31"/>
    </row>
    <row r="162" spans="3:12" ht="30" hidden="1" customHeight="1" x14ac:dyDescent="0.25">
      <c r="C162" s="70"/>
      <c r="D162" s="70"/>
      <c r="E162" s="70"/>
      <c r="F162" s="70"/>
      <c r="G162" s="25"/>
      <c r="H162" s="31"/>
      <c r="I162" s="31"/>
      <c r="J162" s="31"/>
      <c r="K162" s="31"/>
      <c r="L162" s="31"/>
    </row>
    <row r="163" spans="3:12" ht="30" hidden="1" customHeight="1" x14ac:dyDescent="0.25"/>
    <row r="164" spans="3:12" ht="15" hidden="1" x14ac:dyDescent="0.25"/>
    <row r="165" spans="3:12" ht="15" hidden="1" x14ac:dyDescent="0.25"/>
    <row r="166" spans="3:12" ht="15" hidden="1" x14ac:dyDescent="0.25"/>
    <row r="167" spans="3:12" ht="15" hidden="1" x14ac:dyDescent="0.25"/>
    <row r="168" spans="3:12" ht="15" hidden="1" x14ac:dyDescent="0.25"/>
  </sheetData>
  <sheetProtection sheet="1" objects="1" scenarios="1"/>
  <mergeCells count="22">
    <mergeCell ref="B21:K21"/>
    <mergeCell ref="D9:I9"/>
    <mergeCell ref="D10:E10"/>
    <mergeCell ref="H10:I10"/>
    <mergeCell ref="D11:E11"/>
    <mergeCell ref="H11:I11"/>
    <mergeCell ref="I18:I19"/>
    <mergeCell ref="F10:G10"/>
    <mergeCell ref="F11:G11"/>
    <mergeCell ref="C3:J3"/>
    <mergeCell ref="D6:E6"/>
    <mergeCell ref="D7:E7"/>
    <mergeCell ref="F6:G6"/>
    <mergeCell ref="F7:G7"/>
    <mergeCell ref="H6:I6"/>
    <mergeCell ref="H7:I7"/>
    <mergeCell ref="D5:I5"/>
    <mergeCell ref="G26:G27"/>
    <mergeCell ref="G29:G33"/>
    <mergeCell ref="G34:G35"/>
    <mergeCell ref="G36:G37"/>
    <mergeCell ref="G24:G2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FF34-3ED0-4975-A938-DAFB754DF9B7}">
  <sheetPr codeName="Sheet8"/>
  <dimension ref="A1:Q28"/>
  <sheetViews>
    <sheetView showGridLines="0" topLeftCell="A4" zoomScale="90" zoomScaleNormal="90" workbookViewId="0">
      <selection activeCell="G23" sqref="G23"/>
    </sheetView>
  </sheetViews>
  <sheetFormatPr defaultColWidth="0" defaultRowHeight="0" customHeight="1" zeroHeight="1" x14ac:dyDescent="0.25"/>
  <cols>
    <col min="1" max="1" width="8.7109375" customWidth="1"/>
    <col min="2" max="9" width="25.7109375" customWidth="1"/>
    <col min="10" max="10" width="8.7109375" customWidth="1"/>
    <col min="11" max="17" width="0" hidden="1" customWidth="1"/>
    <col min="18" max="16384" width="8.7109375" hidden="1"/>
  </cols>
  <sheetData>
    <row r="1" spans="1:9" ht="15" hidden="1" x14ac:dyDescent="0.25"/>
    <row r="2" spans="1:9" ht="33" customHeight="1" x14ac:dyDescent="0.25">
      <c r="B2" s="24"/>
    </row>
    <row r="3" spans="1:9" ht="33" customHeight="1" x14ac:dyDescent="0.25">
      <c r="B3" s="360" t="s">
        <v>176</v>
      </c>
      <c r="C3" s="360"/>
      <c r="D3" s="360"/>
      <c r="E3" s="360"/>
      <c r="F3" s="360"/>
      <c r="G3" s="360"/>
      <c r="H3" s="360"/>
      <c r="I3" s="360"/>
    </row>
    <row r="4" spans="1:9" ht="33" customHeight="1" x14ac:dyDescent="0.25">
      <c r="B4" s="69"/>
      <c r="C4" s="69"/>
      <c r="D4" s="69"/>
      <c r="E4" s="69"/>
      <c r="F4" s="69"/>
      <c r="G4" s="69"/>
      <c r="H4" s="69"/>
      <c r="I4" s="69"/>
    </row>
    <row r="5" spans="1:9" ht="33" customHeight="1" x14ac:dyDescent="0.25">
      <c r="B5" s="79"/>
      <c r="C5" s="79"/>
      <c r="D5" s="82"/>
      <c r="E5" s="79"/>
      <c r="F5" s="79"/>
      <c r="G5" s="79"/>
      <c r="H5" s="79"/>
      <c r="I5" s="79"/>
    </row>
    <row r="6" spans="1:9" ht="33" customHeight="1" x14ac:dyDescent="0.25">
      <c r="B6" s="79"/>
      <c r="C6" s="79"/>
      <c r="D6" s="82"/>
      <c r="E6" s="79"/>
      <c r="F6" s="79"/>
      <c r="G6" s="79"/>
      <c r="H6" s="79"/>
      <c r="I6" s="79"/>
    </row>
    <row r="7" spans="1:9" ht="33" customHeight="1" x14ac:dyDescent="0.25">
      <c r="B7" s="79"/>
      <c r="C7" s="79"/>
      <c r="D7" s="82"/>
      <c r="E7" s="79"/>
      <c r="F7" s="79"/>
      <c r="G7" s="79"/>
      <c r="H7" s="79"/>
      <c r="I7" s="79"/>
    </row>
    <row r="8" spans="1:9" ht="33" customHeight="1" x14ac:dyDescent="0.25">
      <c r="B8" s="84"/>
      <c r="C8" s="77"/>
      <c r="D8" s="77"/>
      <c r="E8" s="77"/>
      <c r="F8" s="77"/>
      <c r="G8" s="77"/>
      <c r="H8" s="77"/>
      <c r="I8" s="77"/>
    </row>
    <row r="9" spans="1:9" ht="33" customHeight="1" x14ac:dyDescent="0.25">
      <c r="B9" s="66"/>
      <c r="C9" s="66"/>
      <c r="D9" s="66"/>
      <c r="E9" s="66"/>
      <c r="F9" s="66"/>
      <c r="G9" s="66"/>
      <c r="H9" s="66"/>
      <c r="I9" s="66"/>
    </row>
    <row r="10" spans="1:9" ht="33" customHeight="1" x14ac:dyDescent="0.25">
      <c r="B10" s="74"/>
      <c r="C10" s="68"/>
      <c r="D10" s="68"/>
      <c r="E10" s="59"/>
      <c r="F10" s="53"/>
      <c r="G10" s="74"/>
      <c r="H10" s="53"/>
      <c r="I10" s="74"/>
    </row>
    <row r="11" spans="1:9" ht="33" customHeight="1" x14ac:dyDescent="0.25">
      <c r="A11" s="23"/>
      <c r="B11" s="63"/>
      <c r="C11" s="70"/>
      <c r="D11" s="70"/>
      <c r="E11" s="64"/>
      <c r="F11" s="63"/>
      <c r="G11" s="83"/>
      <c r="H11" s="63"/>
      <c r="I11" s="83"/>
    </row>
    <row r="12" spans="1:9" ht="30" customHeight="1" x14ac:dyDescent="0.25">
      <c r="B12" s="64"/>
      <c r="C12" s="70"/>
      <c r="D12" s="70"/>
      <c r="E12" s="53"/>
      <c r="F12" s="63"/>
      <c r="G12" s="83"/>
      <c r="H12" s="63"/>
      <c r="I12" s="83"/>
    </row>
    <row r="13" spans="1:9" ht="30" customHeight="1" x14ac:dyDescent="0.25">
      <c r="B13" s="63"/>
      <c r="C13" s="70"/>
      <c r="D13" s="70"/>
      <c r="E13" s="68"/>
      <c r="F13" s="64"/>
      <c r="G13" s="83"/>
      <c r="H13" s="73"/>
      <c r="I13" s="83"/>
    </row>
    <row r="14" spans="1:9" ht="30" customHeight="1" x14ac:dyDescent="0.25">
      <c r="B14" s="63"/>
      <c r="C14" s="70"/>
      <c r="D14" s="70"/>
      <c r="E14" s="25"/>
      <c r="F14" s="63"/>
      <c r="G14" s="83"/>
      <c r="H14" s="73"/>
      <c r="I14" s="83"/>
    </row>
    <row r="15" spans="1:9" ht="30" customHeight="1" x14ac:dyDescent="0.25">
      <c r="B15" s="63"/>
      <c r="C15" s="70"/>
      <c r="D15" s="70"/>
      <c r="E15" s="64"/>
      <c r="F15" s="64"/>
      <c r="G15" s="70"/>
      <c r="I15" s="28"/>
    </row>
    <row r="16" spans="1:9" ht="30" customHeight="1" x14ac:dyDescent="0.25">
      <c r="B16" s="62"/>
      <c r="C16" s="70"/>
      <c r="D16" s="70"/>
      <c r="E16" s="64"/>
    </row>
    <row r="17" spans="2:9" ht="30" customHeight="1" x14ac:dyDescent="0.25">
      <c r="B17" s="361"/>
      <c r="C17" s="361"/>
      <c r="D17" s="361"/>
      <c r="E17" s="25"/>
      <c r="F17" s="68"/>
      <c r="G17" s="82"/>
      <c r="H17" s="68"/>
      <c r="I17" s="82"/>
    </row>
    <row r="18" spans="2:9" ht="30" customHeight="1" x14ac:dyDescent="0.25">
      <c r="B18" s="64"/>
      <c r="C18" s="70"/>
      <c r="D18" s="70"/>
      <c r="E18" s="25"/>
      <c r="F18" s="75"/>
      <c r="G18" s="70"/>
      <c r="H18" s="63"/>
      <c r="I18" s="70"/>
    </row>
    <row r="19" spans="2:9" ht="30" customHeight="1" x14ac:dyDescent="0.25">
      <c r="B19" s="64"/>
      <c r="C19" s="70"/>
      <c r="D19" s="70"/>
      <c r="E19" s="25"/>
      <c r="F19" s="75"/>
      <c r="G19" s="70"/>
      <c r="H19" s="63"/>
      <c r="I19" s="70"/>
    </row>
    <row r="20" spans="2:9" ht="30" customHeight="1" x14ac:dyDescent="0.25">
      <c r="B20" s="64"/>
      <c r="C20" s="70"/>
      <c r="D20" s="70"/>
      <c r="E20" s="59"/>
      <c r="F20" s="75"/>
      <c r="G20" s="70"/>
      <c r="H20" s="64"/>
      <c r="I20" s="70"/>
    </row>
    <row r="21" spans="2:9" ht="30" customHeight="1" x14ac:dyDescent="0.25">
      <c r="B21" s="64"/>
      <c r="C21" s="70"/>
      <c r="D21" s="70"/>
      <c r="E21" s="64"/>
      <c r="F21" s="73"/>
      <c r="G21" s="70"/>
      <c r="H21" s="73"/>
      <c r="I21" s="70"/>
    </row>
    <row r="22" spans="2:9" ht="30" customHeight="1" x14ac:dyDescent="0.25">
      <c r="B22" s="64"/>
      <c r="C22" s="70"/>
      <c r="D22" s="70"/>
      <c r="E22" s="25"/>
      <c r="F22" s="73"/>
      <c r="G22" s="70"/>
      <c r="H22" s="73"/>
      <c r="I22" s="70"/>
    </row>
    <row r="23" spans="2:9" ht="30" customHeight="1" x14ac:dyDescent="0.25">
      <c r="E23" s="25"/>
      <c r="F23" s="64"/>
      <c r="G23" s="70"/>
      <c r="H23" s="64"/>
      <c r="I23" s="28"/>
    </row>
    <row r="24" spans="2:9" ht="15" hidden="1" x14ac:dyDescent="0.25"/>
    <row r="25" spans="2:9" ht="15" hidden="1" x14ac:dyDescent="0.25"/>
    <row r="26" spans="2:9" ht="15" hidden="1" x14ac:dyDescent="0.25"/>
    <row r="27" spans="2:9" ht="15" hidden="1" x14ac:dyDescent="0.25"/>
    <row r="28" spans="2:9" ht="15" hidden="1" x14ac:dyDescent="0.25"/>
  </sheetData>
  <sheetProtection sheet="1" objects="1" scenarios="1"/>
  <mergeCells count="2">
    <mergeCell ref="B3:I3"/>
    <mergeCell ref="B17:D1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2511A-750D-4711-A834-0B03B664C079}">
  <sheetPr codeName="Sheet9"/>
  <dimension ref="B3:C10"/>
  <sheetViews>
    <sheetView workbookViewId="0">
      <selection activeCell="C10" sqref="C10"/>
    </sheetView>
  </sheetViews>
  <sheetFormatPr defaultRowHeight="15" x14ac:dyDescent="0.25"/>
  <cols>
    <col min="2" max="2" width="17.28515625" customWidth="1"/>
  </cols>
  <sheetData>
    <row r="3" spans="2:3" x14ac:dyDescent="0.25">
      <c r="C3" t="s">
        <v>239</v>
      </c>
    </row>
    <row r="4" spans="2:3" x14ac:dyDescent="0.25">
      <c r="B4" t="s">
        <v>329</v>
      </c>
      <c r="C4" s="176">
        <f>SUM('Resultatpresentation i tabell'!B14:E14)</f>
        <v>0</v>
      </c>
    </row>
    <row r="5" spans="2:3" x14ac:dyDescent="0.25">
      <c r="B5" t="s">
        <v>330</v>
      </c>
      <c r="C5" s="176">
        <f>SUM('Resultatpresentation i tabell'!F14)</f>
        <v>0</v>
      </c>
    </row>
    <row r="6" spans="2:3" x14ac:dyDescent="0.25">
      <c r="B6" t="s">
        <v>331</v>
      </c>
      <c r="C6" s="176">
        <f>SUM('Resultatpresentation i tabell'!G14:K14)</f>
        <v>0</v>
      </c>
    </row>
    <row r="7" spans="2:3" x14ac:dyDescent="0.25">
      <c r="B7" t="s">
        <v>333</v>
      </c>
      <c r="C7">
        <f>'Nyttor från biprodukter'!H15/1000</f>
        <v>0</v>
      </c>
    </row>
    <row r="8" spans="2:3" x14ac:dyDescent="0.25">
      <c r="B8" t="s">
        <v>332</v>
      </c>
      <c r="C8">
        <f>SUM('Nyttor från biprodukter'!H16:H19)/1000</f>
        <v>0</v>
      </c>
    </row>
    <row r="9" spans="2:3" x14ac:dyDescent="0.25">
      <c r="B9" t="s">
        <v>164</v>
      </c>
      <c r="C9" s="176">
        <f>SUM('Nyttor från biprodukter'!H26:H29)/1000+SUM('Nyttor från biprodukter'!H32:H33)/1000</f>
        <v>0</v>
      </c>
    </row>
    <row r="10" spans="2:3" x14ac:dyDescent="0.25">
      <c r="B10" t="s">
        <v>335</v>
      </c>
      <c r="C10">
        <f>('Nyttor från biprodukter'!H39+'Nyttor från biprodukter'!H40)/1000</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b1a41a-a547-4c82-a3d4-eec2d21982db">
      <Terms xmlns="http://schemas.microsoft.com/office/infopath/2007/PartnerControls"/>
    </lcf76f155ced4ddcb4097134ff3c332f>
    <TaxCatchAll xmlns="a72bc800-d43d-4024-8680-6d69819f83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D9D5DB0BE4CD44A9E605CA56499704D" ma:contentTypeVersion="11" ma:contentTypeDescription="Skapa ett nytt dokument." ma:contentTypeScope="" ma:versionID="51039264209ec426f8901e17b691f10e">
  <xsd:schema xmlns:xsd="http://www.w3.org/2001/XMLSchema" xmlns:xs="http://www.w3.org/2001/XMLSchema" xmlns:p="http://schemas.microsoft.com/office/2006/metadata/properties" xmlns:ns2="0fb1a41a-a547-4c82-a3d4-eec2d21982db" xmlns:ns3="a72bc800-d43d-4024-8680-6d69819f83c0" targetNamespace="http://schemas.microsoft.com/office/2006/metadata/properties" ma:root="true" ma:fieldsID="d62442e73d1fa03abee82e8269e3903b" ns2:_="" ns3:_="">
    <xsd:import namespace="0fb1a41a-a547-4c82-a3d4-eec2d21982db"/>
    <xsd:import namespace="a72bc800-d43d-4024-8680-6d69819f83c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b1a41a-a547-4c82-a3d4-eec2d21982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2bc800-d43d-4024-8680-6d69819f83c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f825307-b2de-4750-ac0a-813e220c1980}" ma:internalName="TaxCatchAll" ma:showField="CatchAllData" ma:web="a72bc800-d43d-4024-8680-6d69819f83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27AA4C-7AF2-4BE3-9FD5-243248D927CB}">
  <ds:schemaRefs>
    <ds:schemaRef ds:uri="http://schemas.microsoft.com/office/infopath/2007/PartnerControls"/>
    <ds:schemaRef ds:uri="http://purl.org/dc/terms/"/>
    <ds:schemaRef ds:uri="http://schemas.microsoft.com/office/2006/documentManagement/types"/>
    <ds:schemaRef ds:uri="0fb1a41a-a547-4c82-a3d4-eec2d21982db"/>
    <ds:schemaRef ds:uri="http://purl.org/dc/elements/1.1/"/>
    <ds:schemaRef ds:uri="http://schemas.openxmlformats.org/package/2006/metadata/core-properties"/>
    <ds:schemaRef ds:uri="a72bc800-d43d-4024-8680-6d69819f83c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1FD8D4A-BAC4-4866-A032-417EA6248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b1a41a-a547-4c82-a3d4-eec2d21982db"/>
    <ds:schemaRef ds:uri="a72bc800-d43d-4024-8680-6d69819f8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9CCDE8-B248-46D1-B39F-F14C67CEA4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Instruktioner</vt:lpstr>
      <vt:lpstr>Lägg in data här alt 1.</vt:lpstr>
      <vt:lpstr>Lägg in data här alt 2.</vt:lpstr>
      <vt:lpstr>Lägg in data här</vt:lpstr>
      <vt:lpstr>Lägg in data här för kemikalier</vt:lpstr>
      <vt:lpstr>Nyttor från biprodukter</vt:lpstr>
      <vt:lpstr>Resultatpresentation i tabell</vt:lpstr>
      <vt:lpstr>Resultatpresentation i graf</vt:lpstr>
      <vt:lpstr>Graf - Nyttor</vt:lpstr>
      <vt:lpstr>Resultatpresentation av nyttor</vt:lpstr>
      <vt:lpstr>Referenser</vt:lpstr>
      <vt:lpstr>Versionshistorik</vt:lpstr>
      <vt:lpstr>Anteckningar</vt:lpstr>
      <vt:lpstr>Information till rullistor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Susanne Lundberg</dc:creator>
  <cp:keywords/>
  <dc:description/>
  <cp:lastModifiedBy>Kristin Johansson</cp:lastModifiedBy>
  <cp:revision/>
  <dcterms:created xsi:type="dcterms:W3CDTF">2021-09-24T13:21:10Z</dcterms:created>
  <dcterms:modified xsi:type="dcterms:W3CDTF">2026-02-20T13:18:27Z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0x010100BD9D5DB0BE4CD44A9E605CA56499704D</vt:lpwstr>
  </property>
  <property fmtid="{D5CDD505-2E9C-101B-9397-08002B2CF9AE}" pid="3" name="MediaServiceImageTags">
    <vt:lpwstr/>
  </property>
</Properties>
</file>