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4. 219407 Support 2025/02. Uppdatering av verktyget våren 2025/Arbetsversioner/"/>
    </mc:Choice>
  </mc:AlternateContent>
  <xr:revisionPtr revIDLastSave="851" documentId="8_{EEC2617D-E158-4CB6-903F-EDFF9E89DBD4}" xr6:coauthVersionLast="47" xr6:coauthVersionMax="47" xr10:uidLastSave="{BE1F9E2D-A6D9-4423-A0B4-B03DCF99A87A}"/>
  <bookViews>
    <workbookView xWindow="-120" yWindow="-120" windowWidth="29040" windowHeight="17640" tabRatio="774" xr2:uid="{EB198E22-765A-40AF-8200-B7B6637C18EC}"/>
  </bookViews>
  <sheets>
    <sheet name="Instructions" sheetId="2" r:id="rId1"/>
    <sheet name="Lägg in data här alt 1." sheetId="3" state="hidden" r:id="rId2"/>
    <sheet name="Lägg in data här alt 2." sheetId="6" state="hidden" r:id="rId3"/>
    <sheet name="Enter data here" sheetId="7" r:id="rId4"/>
    <sheet name="Enter data for chemicals here" sheetId="13" r:id="rId5"/>
    <sheet name="Benefits from by-products" sheetId="17" r:id="rId6"/>
    <sheet name="Results presentation in table" sheetId="10" r:id="rId7"/>
    <sheet name="Results presentation in graph" sheetId="11" r:id="rId8"/>
    <sheet name="Graf - Nyttor" sheetId="20" state="hidden" r:id="rId9"/>
    <sheet name="Result presentation in benefits" sheetId="19" r:id="rId10"/>
    <sheet name="References" sheetId="15" r:id="rId11"/>
    <sheet name="Version history" sheetId="21" r:id="rId12"/>
    <sheet name="Notes" sheetId="18" r:id="rId13"/>
    <sheet name="Information till rullistor" sheetId="12" state="hidden" r:id="rId14"/>
  </sheets>
  <externalReferences>
    <externalReference r:id="rId15"/>
    <externalReference r:id="rId16"/>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0" l="1"/>
  <c r="G18" i="10" s="1"/>
  <c r="I14" i="10"/>
  <c r="G14" i="10"/>
  <c r="F14" i="10"/>
  <c r="E18" i="10" s="1"/>
  <c r="E14" i="10"/>
  <c r="D14" i="10"/>
  <c r="C14" i="10"/>
  <c r="B14"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H87" i="10"/>
  <c r="H83" i="10"/>
  <c r="H84" i="10"/>
  <c r="H85" i="10"/>
  <c r="H86" i="10"/>
  <c r="H77" i="10"/>
  <c r="H78" i="10"/>
  <c r="H79" i="10"/>
  <c r="H80" i="10"/>
  <c r="H81" i="10"/>
  <c r="H82" i="10"/>
  <c r="H62" i="10"/>
  <c r="H63" i="10"/>
  <c r="H64" i="10"/>
  <c r="H65" i="10"/>
  <c r="H66" i="10"/>
  <c r="H67" i="10"/>
  <c r="H68" i="10"/>
  <c r="H69" i="10"/>
  <c r="H70" i="10"/>
  <c r="H71" i="10"/>
  <c r="H72" i="10"/>
  <c r="H73" i="10"/>
  <c r="H74" i="10"/>
  <c r="H75" i="10"/>
  <c r="H76" i="10"/>
  <c r="H61" i="10"/>
  <c r="I49" i="10"/>
  <c r="E42" i="10"/>
  <c r="E43" i="10"/>
  <c r="E44" i="10"/>
  <c r="E45" i="10"/>
  <c r="E46" i="10"/>
  <c r="E47" i="10"/>
  <c r="E48" i="10"/>
  <c r="E49" i="10"/>
  <c r="E41" i="10"/>
  <c r="D42" i="10"/>
  <c r="D43" i="10"/>
  <c r="D44" i="10"/>
  <c r="D45" i="10"/>
  <c r="D46" i="10"/>
  <c r="D47" i="10"/>
  <c r="D48" i="10"/>
  <c r="D49" i="10"/>
  <c r="D41" i="10"/>
  <c r="C42" i="10"/>
  <c r="C43" i="10"/>
  <c r="C44" i="10"/>
  <c r="C45" i="10"/>
  <c r="C46" i="10"/>
  <c r="C47" i="10"/>
  <c r="C48" i="10"/>
  <c r="C49" i="10"/>
  <c r="C41" i="10"/>
  <c r="D104" i="7"/>
  <c r="D100" i="7"/>
  <c r="D80" i="7"/>
  <c r="C79" i="15"/>
  <c r="F51" i="15"/>
  <c r="F50" i="15"/>
  <c r="F45" i="15"/>
  <c r="F46" i="15"/>
  <c r="F47" i="15"/>
  <c r="F48" i="15"/>
  <c r="F49" i="15"/>
  <c r="F30" i="15"/>
  <c r="F31" i="15"/>
  <c r="F32" i="15"/>
  <c r="F33" i="15"/>
  <c r="F34" i="15"/>
  <c r="F35" i="15"/>
  <c r="F36" i="15"/>
  <c r="F37" i="15"/>
  <c r="F38" i="15"/>
  <c r="F39" i="15"/>
  <c r="F40" i="15"/>
  <c r="F41" i="15"/>
  <c r="F42" i="15"/>
  <c r="F43" i="15"/>
  <c r="F44" i="15"/>
  <c r="F29" i="15"/>
  <c r="C33" i="15"/>
  <c r="B20" i="15"/>
  <c r="B21" i="15"/>
  <c r="B22" i="15"/>
  <c r="B23" i="15"/>
  <c r="B24" i="15"/>
  <c r="B25" i="15"/>
  <c r="B19" i="15"/>
  <c r="C20" i="15"/>
  <c r="C21" i="15" s="1"/>
  <c r="C22" i="15" s="1"/>
  <c r="C23" i="15" s="1"/>
  <c r="C24" i="15" s="1"/>
  <c r="C25" i="15" s="1"/>
  <c r="D18" i="10" l="1"/>
  <c r="F9" i="17" l="1"/>
  <c r="E9" i="17"/>
  <c r="H32" i="17"/>
  <c r="H33" i="17"/>
  <c r="H75" i="13"/>
  <c r="H72" i="13"/>
  <c r="H69" i="13"/>
  <c r="H67" i="13"/>
  <c r="H62" i="13"/>
  <c r="G37" i="7" l="1"/>
  <c r="F37" i="7"/>
  <c r="G36" i="7"/>
  <c r="F36" i="7"/>
  <c r="B55" i="15"/>
  <c r="B53" i="15"/>
  <c r="B54" i="15"/>
  <c r="B39" i="15"/>
  <c r="B40" i="15"/>
  <c r="B41" i="15"/>
  <c r="B42" i="15"/>
  <c r="B43" i="15"/>
  <c r="B44" i="15"/>
  <c r="B45" i="15"/>
  <c r="B46" i="15"/>
  <c r="B47" i="15"/>
  <c r="B48" i="15"/>
  <c r="B49" i="15"/>
  <c r="B50" i="15"/>
  <c r="B51" i="15"/>
  <c r="B52" i="15"/>
  <c r="B38" i="15"/>
  <c r="D69" i="10"/>
  <c r="D70" i="10"/>
  <c r="D71" i="10"/>
  <c r="D72" i="10"/>
  <c r="D73" i="10"/>
  <c r="D74" i="10"/>
  <c r="D75" i="10"/>
  <c r="D76" i="10"/>
  <c r="D77" i="10"/>
  <c r="D78" i="10"/>
  <c r="D79" i="10"/>
  <c r="D80" i="10"/>
  <c r="D81" i="10"/>
  <c r="D82" i="10"/>
  <c r="D83" i="10"/>
  <c r="D84" i="10"/>
  <c r="D85" i="10"/>
  <c r="D86" i="10"/>
  <c r="D87" i="10"/>
  <c r="D68" i="10"/>
  <c r="C87" i="10"/>
  <c r="C84" i="10"/>
  <c r="C85" i="10"/>
  <c r="C86" i="10"/>
  <c r="C69" i="10"/>
  <c r="C70" i="10"/>
  <c r="C71" i="10"/>
  <c r="C72" i="10"/>
  <c r="C73" i="10"/>
  <c r="C74" i="10"/>
  <c r="C75" i="10"/>
  <c r="C76" i="10"/>
  <c r="C77" i="10"/>
  <c r="C78" i="10"/>
  <c r="C79" i="10"/>
  <c r="C80" i="10"/>
  <c r="C81" i="10"/>
  <c r="C82" i="10"/>
  <c r="C83" i="10"/>
  <c r="C68" i="10"/>
  <c r="H31" i="13"/>
  <c r="E76" i="10" s="1"/>
  <c r="H32" i="13"/>
  <c r="E77" i="10" s="1"/>
  <c r="H33" i="13"/>
  <c r="E78" i="10" s="1"/>
  <c r="H34" i="13"/>
  <c r="E79" i="10" s="1"/>
  <c r="H35" i="13"/>
  <c r="E80" i="10" s="1"/>
  <c r="H36" i="13"/>
  <c r="E81" i="10" s="1"/>
  <c r="H37" i="13"/>
  <c r="E82" i="10" s="1"/>
  <c r="G63" i="15"/>
  <c r="H61" i="13"/>
  <c r="H63" i="13"/>
  <c r="H64" i="13"/>
  <c r="H65" i="13"/>
  <c r="H66" i="13"/>
  <c r="H68" i="13"/>
  <c r="H70" i="13"/>
  <c r="H71" i="13"/>
  <c r="H73" i="13"/>
  <c r="H74" i="13"/>
  <c r="H76" i="13"/>
  <c r="H77" i="13"/>
  <c r="H78" i="13"/>
  <c r="H79" i="13"/>
  <c r="H80" i="13"/>
  <c r="H81" i="13"/>
  <c r="H82" i="13"/>
  <c r="H83" i="13"/>
  <c r="H84" i="13"/>
  <c r="H85" i="13"/>
  <c r="H86" i="13"/>
  <c r="H60" i="13"/>
  <c r="H49" i="13"/>
  <c r="H50" i="13"/>
  <c r="H48" i="13"/>
  <c r="H24" i="13"/>
  <c r="E69" i="10" s="1"/>
  <c r="H25" i="13"/>
  <c r="E70" i="10" s="1"/>
  <c r="H26" i="13"/>
  <c r="E71" i="10" s="1"/>
  <c r="H27" i="13"/>
  <c r="E72" i="10" s="1"/>
  <c r="H28" i="13"/>
  <c r="E73" i="10" s="1"/>
  <c r="H29" i="13"/>
  <c r="E74" i="10" s="1"/>
  <c r="H30" i="13"/>
  <c r="E75" i="10" s="1"/>
  <c r="H38" i="13"/>
  <c r="E83" i="10" s="1"/>
  <c r="H39" i="13"/>
  <c r="E84" i="10" s="1"/>
  <c r="H40" i="13"/>
  <c r="E85" i="10" s="1"/>
  <c r="H41" i="13"/>
  <c r="E86" i="10" s="1"/>
  <c r="H42" i="13"/>
  <c r="E87" i="10" s="1"/>
  <c r="H23" i="13"/>
  <c r="E68" i="10" s="1"/>
  <c r="I11" i="13"/>
  <c r="I12" i="13"/>
  <c r="I13" i="13"/>
  <c r="I14" i="13"/>
  <c r="I15" i="13"/>
  <c r="F63" i="10" s="1"/>
  <c r="I16" i="13"/>
  <c r="F64" i="10" s="1"/>
  <c r="I17" i="13"/>
  <c r="F65" i="10" s="1"/>
  <c r="I10" i="13"/>
  <c r="J51" i="7"/>
  <c r="J52" i="7"/>
  <c r="J53" i="7"/>
  <c r="J54" i="7"/>
  <c r="J55" i="7"/>
  <c r="J56" i="7"/>
  <c r="J57" i="7"/>
  <c r="J58" i="7"/>
  <c r="J59" i="7"/>
  <c r="J60" i="7"/>
  <c r="J61" i="7"/>
  <c r="J62" i="7"/>
  <c r="J63" i="7"/>
  <c r="J50" i="7"/>
  <c r="C63" i="10"/>
  <c r="D63" i="10"/>
  <c r="E63" i="10"/>
  <c r="C64" i="10"/>
  <c r="D64" i="10"/>
  <c r="E64" i="10"/>
  <c r="C65" i="10"/>
  <c r="D65" i="10"/>
  <c r="E65" i="10"/>
  <c r="G18" i="15"/>
  <c r="C28" i="10" l="1"/>
  <c r="D28" i="10"/>
  <c r="E28" i="10"/>
  <c r="D39" i="17"/>
  <c r="D18" i="17"/>
  <c r="E39" i="17"/>
  <c r="H106" i="7"/>
  <c r="H105" i="7"/>
  <c r="D26" i="17" l="1"/>
  <c r="H26" i="17" s="1"/>
  <c r="H27" i="17"/>
  <c r="H28" i="17"/>
  <c r="H29" i="17"/>
  <c r="I52" i="10"/>
  <c r="C82" i="15"/>
  <c r="C81" i="15"/>
  <c r="E32" i="17" l="1"/>
  <c r="I58" i="10"/>
  <c r="H58" i="10"/>
  <c r="H18" i="17" l="1"/>
  <c r="D9" i="17" s="1"/>
  <c r="C9" i="17" s="1"/>
  <c r="I30" i="10"/>
  <c r="H30" i="10"/>
  <c r="H40" i="17" l="1"/>
  <c r="J30" i="10" l="1"/>
  <c r="H17" i="17"/>
  <c r="D75" i="7"/>
  <c r="I40" i="10" s="1"/>
  <c r="I45" i="10" l="1"/>
  <c r="H39" i="17"/>
  <c r="C10" i="20" s="1"/>
  <c r="H15" i="17"/>
  <c r="I61" i="10"/>
  <c r="H94" i="7"/>
  <c r="I51" i="10" s="1"/>
  <c r="I44" i="10"/>
  <c r="I31" i="10"/>
  <c r="I32" i="10"/>
  <c r="I33" i="10"/>
  <c r="I29" i="10"/>
  <c r="I25" i="10"/>
  <c r="I26" i="10"/>
  <c r="I27" i="10"/>
  <c r="I28" i="10"/>
  <c r="I34" i="10"/>
  <c r="I35" i="10"/>
  <c r="I36" i="10"/>
  <c r="I37" i="10"/>
  <c r="H25" i="10"/>
  <c r="H26" i="10"/>
  <c r="H27" i="10"/>
  <c r="H28" i="10"/>
  <c r="H29" i="10"/>
  <c r="H31" i="10"/>
  <c r="H32" i="10"/>
  <c r="H33" i="10"/>
  <c r="H34" i="10"/>
  <c r="H35" i="10"/>
  <c r="H36" i="10"/>
  <c r="H37" i="10"/>
  <c r="E34" i="10"/>
  <c r="E35" i="10"/>
  <c r="E36" i="10"/>
  <c r="E37" i="10"/>
  <c r="E38" i="10"/>
  <c r="D34" i="10"/>
  <c r="D35" i="10"/>
  <c r="D36" i="10"/>
  <c r="D37" i="10"/>
  <c r="D38" i="10"/>
  <c r="C34" i="10"/>
  <c r="C35" i="10"/>
  <c r="C36" i="10"/>
  <c r="C37" i="10"/>
  <c r="C38" i="10"/>
  <c r="C7" i="20" l="1"/>
  <c r="I42" i="10"/>
  <c r="I41" i="10"/>
  <c r="I43" i="10"/>
  <c r="J25" i="10" l="1"/>
  <c r="J26" i="10"/>
  <c r="J27" i="10"/>
  <c r="J28" i="10"/>
  <c r="J29" i="10"/>
  <c r="J31" i="10"/>
  <c r="J32" i="10"/>
  <c r="J33" i="10"/>
  <c r="J34" i="10"/>
  <c r="J35" i="10"/>
  <c r="J36" i="10"/>
  <c r="J37" i="10"/>
  <c r="J61" i="10"/>
  <c r="D120" i="7" l="1"/>
  <c r="D115" i="7"/>
  <c r="D90" i="7"/>
  <c r="I48" i="10" s="1"/>
  <c r="I54" i="10"/>
  <c r="I53" i="10"/>
  <c r="F59" i="10"/>
  <c r="F60" i="10"/>
  <c r="F61" i="10"/>
  <c r="F62" i="10"/>
  <c r="F58" i="10"/>
  <c r="E59" i="10"/>
  <c r="E60" i="10"/>
  <c r="E61" i="10"/>
  <c r="E62" i="10"/>
  <c r="D59" i="10"/>
  <c r="D60" i="10"/>
  <c r="D61" i="10"/>
  <c r="D62" i="10"/>
  <c r="C59" i="10"/>
  <c r="C60" i="10"/>
  <c r="C61" i="10"/>
  <c r="C62" i="10"/>
  <c r="E91" i="10"/>
  <c r="E92" i="10"/>
  <c r="E90" i="10"/>
  <c r="H24" i="10"/>
  <c r="D91" i="10"/>
  <c r="D92" i="10"/>
  <c r="C91" i="10"/>
  <c r="C92" i="10"/>
  <c r="D25" i="10"/>
  <c r="E25" i="10"/>
  <c r="D26" i="10"/>
  <c r="E26" i="10"/>
  <c r="D27" i="10"/>
  <c r="E27" i="10"/>
  <c r="D29" i="10"/>
  <c r="E29" i="10"/>
  <c r="D30" i="10"/>
  <c r="E30" i="10"/>
  <c r="C25" i="10"/>
  <c r="C26" i="10"/>
  <c r="C27" i="10"/>
  <c r="C29" i="10"/>
  <c r="C30" i="10"/>
  <c r="C24" i="10"/>
  <c r="C33" i="10"/>
  <c r="I50" i="10" l="1"/>
  <c r="H19" i="17"/>
  <c r="H16" i="17"/>
  <c r="C8" i="20" s="1"/>
  <c r="C9" i="20" l="1"/>
  <c r="L66" i="17"/>
  <c r="K66" i="17"/>
  <c r="M65" i="17"/>
  <c r="L65" i="17"/>
  <c r="K65" i="17"/>
  <c r="M64" i="17"/>
  <c r="L64" i="17"/>
  <c r="K64" i="17"/>
  <c r="M63" i="17"/>
  <c r="L63" i="17"/>
  <c r="K63" i="17"/>
  <c r="M62" i="17"/>
  <c r="L62" i="17"/>
  <c r="K62" i="17"/>
  <c r="E33" i="10"/>
  <c r="D33" i="10"/>
  <c r="E58" i="10"/>
  <c r="M66" i="17" l="1"/>
  <c r="C4" i="20" l="1"/>
  <c r="I117" i="10"/>
  <c r="G117" i="10"/>
  <c r="I24" i="10"/>
  <c r="D24" i="10"/>
  <c r="E24" i="10"/>
  <c r="C58" i="10" l="1"/>
  <c r="D58" i="10"/>
  <c r="H117" i="10"/>
  <c r="K89" i="13"/>
  <c r="L89" i="13"/>
  <c r="M89" i="13"/>
  <c r="K90" i="13"/>
  <c r="L90" i="13"/>
  <c r="M90" i="13"/>
  <c r="K91" i="13"/>
  <c r="L91" i="13"/>
  <c r="M91" i="13"/>
  <c r="K92" i="13"/>
  <c r="L92" i="13"/>
  <c r="M92" i="13"/>
  <c r="K93" i="13"/>
  <c r="L93" i="13"/>
  <c r="M93" i="13"/>
  <c r="D90" i="10"/>
  <c r="H14" i="10" s="1"/>
  <c r="C90" i="10"/>
  <c r="K14" i="10" l="1"/>
  <c r="F18" i="10"/>
  <c r="C5" i="20"/>
  <c r="J117" i="10"/>
  <c r="J24" i="10"/>
  <c r="C6" i="20" l="1"/>
  <c r="F7" i="10" l="1"/>
  <c r="H11" i="10"/>
  <c r="F11" i="10"/>
  <c r="D11" i="10"/>
  <c r="H9" i="17"/>
  <c r="I18" i="10" s="1"/>
  <c r="H7" i="10"/>
  <c r="D7" i="10"/>
</calcChain>
</file>

<file path=xl/sharedStrings.xml><?xml version="1.0" encoding="utf-8"?>
<sst xmlns="http://schemas.openxmlformats.org/spreadsheetml/2006/main" count="769" uniqueCount="560">
  <si>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</si>
  <si>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</si>
  <si>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</si>
  <si>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</si>
  <si>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</si>
  <si>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</si>
  <si>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</si>
  <si>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</si>
  <si>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</si>
  <si>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</si>
  <si>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</si>
  <si>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</si>
  <si>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</si>
  <si>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</si>
  <si>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</si>
  <si>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</si>
  <si>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</si>
  <si>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</si>
  <si>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</si>
  <si>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</si>
  <si>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</si>
  <si>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</si>
  <si>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</si>
  <si>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</si>
  <si>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</si>
  <si>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</si>
  <si>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</si>
  <si>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</si>
  <si>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</si>
  <si>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</si>
  <si>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</si>
  <si>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</si>
  <si>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</si>
  <si>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</si>
  <si>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</si>
  <si>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</si>
  <si>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</si>
  <si>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</si>
  <si>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</si>
  <si>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</si>
  <si>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</si>
  <si>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</si>
  <si>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</si>
  <si>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</si>
  <si>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</si>
  <si>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</si>
  <si>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</si>
  <si>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</si>
  <si>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E85</t>
  </si>
  <si>
    <t>HVO (100%)</t>
  </si>
  <si>
    <t xml:space="preserve">FAME (100%) </t>
  </si>
  <si>
    <t>Fråga Kristin</t>
  </si>
  <si>
    <t>Sand</t>
  </si>
  <si>
    <t>%</t>
  </si>
  <si>
    <t>Sekundol/isopropanol</t>
  </si>
  <si>
    <t>PAC (PAX-15)</t>
  </si>
  <si>
    <t>PAC (PAX-215)</t>
  </si>
  <si>
    <t>Polymer</t>
  </si>
  <si>
    <t>Vattenfall (2021)</t>
  </si>
  <si>
    <t>Arom Dekor (2020)</t>
  </si>
  <si>
    <t>Beräkningar enligt verktyg från VA-teknik Södra (2021)</t>
  </si>
  <si>
    <t xml:space="preserve">Grundestam et al. (2020) </t>
  </si>
  <si>
    <t>IPCC (2019)</t>
  </si>
  <si>
    <t>Brown et al (2010)</t>
  </si>
  <si>
    <t>NTM (2020)</t>
  </si>
  <si>
    <t>Potentiella klimatnyttor</t>
  </si>
  <si>
    <t>Svanström et al. (2016)</t>
  </si>
  <si>
    <t xml:space="preserve">Foley et al. (2010b) och Foley et al. (2008) </t>
  </si>
  <si>
    <t>Stenström et al (2017), SVU-rapport 2017-11</t>
  </si>
  <si>
    <t>kg/Nm3</t>
  </si>
  <si>
    <t>SGC (2012)</t>
  </si>
  <si>
    <t>Nilsson Påledal et al. (2020)</t>
  </si>
  <si>
    <t>Slip [%]</t>
  </si>
  <si>
    <t>8. Polymer</t>
  </si>
  <si>
    <t>Scope 1</t>
  </si>
  <si>
    <t>Scope 2</t>
  </si>
  <si>
    <t>Scope 3</t>
  </si>
  <si>
    <r>
      <t xml:space="preserve">LNG </t>
    </r>
    <r>
      <rPr>
        <b/>
        <sz val="10"/>
        <rFont val="Calibri"/>
        <family val="2"/>
        <scheme val="minor"/>
      </rPr>
      <t>[kg]</t>
    </r>
  </si>
  <si>
    <t>-</t>
  </si>
  <si>
    <t>Östlund (2003)</t>
  </si>
  <si>
    <t>Antagande att rens kan jämföras med genomsnittligt hushållsavfall, värde från Östlund (2003)</t>
  </si>
  <si>
    <t>Gustavsson &amp; Tumlin (2013)</t>
  </si>
  <si>
    <t>Energiföretagen (2022)</t>
  </si>
  <si>
    <t>Treatment plant:</t>
  </si>
  <si>
    <t>[Name of treatment plant]</t>
  </si>
  <si>
    <t>Type of treatment plant:</t>
  </si>
  <si>
    <t>Address:</t>
  </si>
  <si>
    <t>[Enter the address of the plant]</t>
  </si>
  <si>
    <t>Contact person:</t>
  </si>
  <si>
    <t>[Who has filled in the information in this document?]</t>
  </si>
  <si>
    <t xml:space="preserve">Year: </t>
  </si>
  <si>
    <t xml:space="preserve">Calculation of climate impact per year and at plant level. </t>
  </si>
  <si>
    <r>
      <rPr>
        <b/>
        <u/>
        <sz val="12"/>
        <color theme="1"/>
        <rFont val="Arial"/>
        <family val="2"/>
      </rPr>
      <t xml:space="preserve">Where are the results presented? </t>
    </r>
    <r>
      <rPr>
        <sz val="12"/>
        <color theme="1"/>
        <rFont val="Arial"/>
        <family val="2"/>
      </rPr>
      <t xml:space="preserve">
The results are presented in the tabs "Results presentation in table", 
"Results presentation in graph" and "Results presentation in benefits". </t>
    </r>
  </si>
  <si>
    <t>Drinking water treatment plant</t>
  </si>
  <si>
    <t>Wastewater treatment plant</t>
  </si>
  <si>
    <t>Enter information in the green marked fields that are relevant for the current facility. All green fields therefore do not need to be filled in.
The information entered must be on an annual basis. Pay attention to what the unit of data requested is in!</t>
  </si>
  <si>
    <t>Electricity consumption</t>
  </si>
  <si>
    <t>Nordic residual mix</t>
  </si>
  <si>
    <t>Wind power</t>
  </si>
  <si>
    <t>Solar power</t>
  </si>
  <si>
    <t>Biogas, 
internally produced</t>
  </si>
  <si>
    <t>Other</t>
  </si>
  <si>
    <r>
      <t>Emissions factor
[kg CO</t>
    </r>
    <r>
      <rPr>
        <b/>
        <vertAlign val="subscript"/>
        <sz val="11"/>
        <rFont val="Calibri"/>
        <family val="2"/>
        <scheme val="minor"/>
      </rPr>
      <t>2</t>
    </r>
    <r>
      <rPr>
        <b/>
        <sz val="11"/>
        <rFont val="Calibri"/>
        <family val="2"/>
        <scheme val="minor"/>
      </rPr>
      <t xml:space="preserve"> e/MWh]</t>
    </r>
  </si>
  <si>
    <t>Heat consumption</t>
  </si>
  <si>
    <t>Plant operation comsumption [MWh/yr]</t>
  </si>
  <si>
    <r>
      <t>Indirect emissions, 
[kg CO</t>
    </r>
    <r>
      <rPr>
        <b/>
        <vertAlign val="subscript"/>
        <sz val="11"/>
        <rFont val="Calibri"/>
        <family val="2"/>
        <scheme val="minor"/>
      </rPr>
      <t>2</t>
    </r>
    <r>
      <rPr>
        <b/>
        <sz val="11"/>
        <rFont val="Calibri"/>
        <family val="2"/>
        <scheme val="minor"/>
      </rPr>
      <t xml:space="preserve"> e/MWh]</t>
    </r>
  </si>
  <si>
    <r>
      <t>Direct emissions,
[kg CO</t>
    </r>
    <r>
      <rPr>
        <b/>
        <vertAlign val="subscript"/>
        <sz val="11"/>
        <rFont val="Calibri"/>
        <family val="2"/>
        <scheme val="minor"/>
      </rPr>
      <t>2</t>
    </r>
    <r>
      <rPr>
        <b/>
        <sz val="11"/>
        <rFont val="Calibri"/>
        <family val="2"/>
        <scheme val="minor"/>
      </rPr>
      <t xml:space="preserve"> e/MWh]</t>
    </r>
  </si>
  <si>
    <t>Fuel oil</t>
  </si>
  <si>
    <t>District heating, local environmental values*</t>
  </si>
  <si>
    <t>* Enter the environmental impact of the local district heating network from the file "District heating's local environmental values 20XX". Note that (g CO2 e/kWh) = (kg CO2 e/MWh). Sum up the field Combustion and Transport and production of fuels.</t>
  </si>
  <si>
    <t xml:space="preserve">** Ask your district cooling supplier for the environmental value of district cooling in the unit kg CO2 e per MWh.   </t>
  </si>
  <si>
    <t>District cooling, local environmental values**</t>
  </si>
  <si>
    <t>Fuel type</t>
  </si>
  <si>
    <t>Consumption [liter/yr]</t>
  </si>
  <si>
    <r>
      <t>Indirect emissions, 
[kg CO</t>
    </r>
    <r>
      <rPr>
        <b/>
        <vertAlign val="subscript"/>
        <sz val="11"/>
        <rFont val="Calibri"/>
        <family val="2"/>
        <scheme val="minor"/>
      </rPr>
      <t>2</t>
    </r>
    <r>
      <rPr>
        <b/>
        <sz val="11"/>
        <rFont val="Calibri"/>
        <family val="2"/>
        <scheme val="minor"/>
      </rPr>
      <t xml:space="preserve"> e/liter]</t>
    </r>
  </si>
  <si>
    <r>
      <t>Direct emissions,
[kg CO</t>
    </r>
    <r>
      <rPr>
        <b/>
        <vertAlign val="subscript"/>
        <sz val="11"/>
        <rFont val="Calibri"/>
        <family val="2"/>
        <scheme val="minor"/>
      </rPr>
      <t>2</t>
    </r>
    <r>
      <rPr>
        <b/>
        <sz val="11"/>
        <rFont val="Calibri"/>
        <family val="2"/>
        <scheme val="minor"/>
      </rPr>
      <t xml:space="preserve"> e/liter]</t>
    </r>
  </si>
  <si>
    <t>Petrol MK1</t>
  </si>
  <si>
    <t>Reporting tab</t>
  </si>
  <si>
    <t>Residual products</t>
  </si>
  <si>
    <t>Transport distance [km]</t>
  </si>
  <si>
    <t>Truck fuel 
(diesel or fossil free)</t>
  </si>
  <si>
    <t>Recycling</t>
  </si>
  <si>
    <t>Landfill</t>
  </si>
  <si>
    <t>Reactivation*</t>
  </si>
  <si>
    <t>Incineration</t>
  </si>
  <si>
    <t>Landfill coverage</t>
  </si>
  <si>
    <t>Soil production</t>
  </si>
  <si>
    <t>Spreading on arable land</t>
  </si>
  <si>
    <t>Lime sludge and similar residual products 
from water softening</t>
  </si>
  <si>
    <t>* The amount of purchased reactivated activated carbon is stated in the next tab under "Purchase of other chemicals".</t>
  </si>
  <si>
    <t xml:space="preserve">** If there is no sludge treatment at the plant, the user can specify sludge that is transported to another WWT for treatment. Furthermore, no information about digestion, biogas handling and sludge treatment needs to be entered in the tool. </t>
  </si>
  <si>
    <t>4. Digester and biogas use - wastewater treatment plants only</t>
  </si>
  <si>
    <t>Enter information on biogas production and methane slip in the section below. If measured values are available for the installation, fill in those values in the cells marked "Measured value:". If no measured values are available, estimated values are calculated based on literature. If a measured value and an estimated value are filled in, the measured value is used before the estimated value in the climate calculation. Pay attention to the units requested!</t>
  </si>
  <si>
    <r>
      <t>Nm</t>
    </r>
    <r>
      <rPr>
        <vertAlign val="superscript"/>
        <sz val="10"/>
        <color theme="1"/>
        <rFont val="Calibri"/>
        <family val="2"/>
        <scheme val="minor"/>
      </rPr>
      <t>3</t>
    </r>
    <r>
      <rPr>
        <sz val="10"/>
        <color theme="1"/>
        <rFont val="Calibri"/>
        <family val="2"/>
        <scheme val="minor"/>
      </rPr>
      <t>/yr</t>
    </r>
  </si>
  <si>
    <r>
      <t>kg CH</t>
    </r>
    <r>
      <rPr>
        <vertAlign val="subscript"/>
        <sz val="10"/>
        <color theme="1"/>
        <rFont val="Calibri"/>
        <family val="2"/>
        <scheme val="minor"/>
      </rPr>
      <t>4</t>
    </r>
    <r>
      <rPr>
        <sz val="10"/>
        <color theme="1"/>
        <rFont val="Calibri"/>
        <family val="2"/>
        <scheme val="minor"/>
      </rPr>
      <t>/yr</t>
    </r>
  </si>
  <si>
    <t>Amount of raw biogas produced in the current year:</t>
  </si>
  <si>
    <t>Methane content of raw biogas produced:</t>
  </si>
  <si>
    <t>Conversion to weight-%:</t>
  </si>
  <si>
    <t>Methane emissions from digesters:</t>
  </si>
  <si>
    <t>Measured value:</t>
  </si>
  <si>
    <t>Estimated value:</t>
  </si>
  <si>
    <t>Enter amounts of raw biogas produced  from the digester that goes to the respective deposit. If you have your own measured value for slip from the upgrade facility, enter it in the first box.</t>
  </si>
  <si>
    <t>Upgrading (in-house)</t>
  </si>
  <si>
    <t>Upgrading (third party)</t>
  </si>
  <si>
    <t>Combustion in boiler</t>
  </si>
  <si>
    <t>Flaring</t>
  </si>
  <si>
    <t>Cold flaring</t>
  </si>
  <si>
    <t xml:space="preserve">Enter information on direct emissions from wastewater treatment plants in the section below. If measured values are available for the plant, fill in those values in the cells marked "Measured value:". If no measured values are available, estimated values are calculated based on literature. For some parts, additional information may be needed to calculate estimated values, follow the instructions below. If a measured and an estimated value are filled in, the measured value is used before the estimated value in the climate calculation. Pay attention to the units requested!	</t>
  </si>
  <si>
    <t>Enter kg COD in incoming water (per year):</t>
  </si>
  <si>
    <t>Methane emissions from water phase:</t>
  </si>
  <si>
    <t>kg COD incoming/yr</t>
  </si>
  <si>
    <t>TS content of the sludge:</t>
  </si>
  <si>
    <t>Methane emissions from sludge storage:</t>
  </si>
  <si>
    <t>Nitrous oxide emissions from sludge storage:</t>
  </si>
  <si>
    <r>
      <t>kg N</t>
    </r>
    <r>
      <rPr>
        <vertAlign val="subscript"/>
        <sz val="10"/>
        <color theme="1"/>
        <rFont val="Calibri"/>
        <family val="2"/>
        <scheme val="minor"/>
      </rPr>
      <t>2</t>
    </r>
    <r>
      <rPr>
        <sz val="10"/>
        <color theme="1"/>
        <rFont val="Calibri"/>
        <family val="2"/>
        <scheme val="minor"/>
      </rPr>
      <t>O/yr</t>
    </r>
  </si>
  <si>
    <t>Enter the amount of sludge stored for 2 months or more:</t>
  </si>
  <si>
    <t>Nitrous oxide emissions from biological treatment:</t>
  </si>
  <si>
    <t>If the plant has separate reject water treatment, enter  reduced amount of nitrogen for one of the options below. If there is no separate reject water treatment at the plant, leave all green fields blank and go to the next section.</t>
  </si>
  <si>
    <t>Nitrous oxide emissions from reject water treatment:</t>
  </si>
  <si>
    <t>Nitrification-denitrification in SBR</t>
  </si>
  <si>
    <t>Specify reduced amount of nitrogen in reject water treatment:</t>
  </si>
  <si>
    <t>Nitrous oxide emissions from nitrification:</t>
  </si>
  <si>
    <t>kg N-tot/yr</t>
  </si>
  <si>
    <t>Nitritation-deammonification</t>
  </si>
  <si>
    <t>Nitrous oxide emissions from nitritation:</t>
  </si>
  <si>
    <t>Enter the amount of BOD in the outgoing water:</t>
  </si>
  <si>
    <t>Enter the amount of nitrogen in the outgoing water:</t>
  </si>
  <si>
    <r>
      <t>kg BOD</t>
    </r>
    <r>
      <rPr>
        <vertAlign val="subscript"/>
        <sz val="10"/>
        <rFont val="Calibri"/>
        <family val="2"/>
        <scheme val="minor"/>
      </rPr>
      <t>output</t>
    </r>
    <r>
      <rPr>
        <sz val="10"/>
        <rFont val="Calibri"/>
        <family val="2"/>
        <scheme val="minor"/>
      </rPr>
      <t>/yr</t>
    </r>
  </si>
  <si>
    <t>ton sludge/yr</t>
  </si>
  <si>
    <t>Resulting emissions</t>
  </si>
  <si>
    <t>Methane emissions from recipient:</t>
  </si>
  <si>
    <t>Nitrous oxide emissions from recipient:</t>
  </si>
  <si>
    <t>Carbon source</t>
  </si>
  <si>
    <t>Truck transport distance [km]</t>
  </si>
  <si>
    <t>Methanol, fossil</t>
  </si>
  <si>
    <t>Methanol, bio-based</t>
  </si>
  <si>
    <t>Ethanol, fossil</t>
  </si>
  <si>
    <t>Ethanol, bio-based</t>
  </si>
  <si>
    <t>Polyacrylamide</t>
  </si>
  <si>
    <t>Water consumption at WWT</t>
  </si>
  <si>
    <r>
      <t>Emission factor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</si>
  <si>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Drinking water 
(for wastewater treatment plants)*</t>
  </si>
  <si>
    <t xml:space="preserve">* Enter the emission factor for drinking water produced from the local supplier. 
For drinking water plants the resulting emission factor will be zero due to internal flow. </t>
  </si>
  <si>
    <t>Chemicals</t>
  </si>
  <si>
    <t>Activated carbon, fossil origin</t>
  </si>
  <si>
    <t>Activated carbon, reactivated</t>
  </si>
  <si>
    <t>Limestone (CaCO3)</t>
  </si>
  <si>
    <t xml:space="preserve">Chlorine </t>
  </si>
  <si>
    <t>Ammonium sulphate</t>
  </si>
  <si>
    <t>Sodium silicate</t>
  </si>
  <si>
    <t>Sodium carbonate</t>
  </si>
  <si>
    <t>Carbon dioxide</t>
  </si>
  <si>
    <t>Citric acid</t>
  </si>
  <si>
    <t>Quicklime (CaO)</t>
  </si>
  <si>
    <t>Calcium hydroxide (Ca(OH)2)</t>
  </si>
  <si>
    <t>Optional reporting tab</t>
  </si>
  <si>
    <t xml:space="preserve">Enter information on recycled residual products for the plant in the green fields. Not all green fields need to be filled in. 
The information entered should be on an annual basis. The calculated potential climate benefit should not be added to the result in the previous tabs. </t>
  </si>
  <si>
    <t>Estimated potential climate benefit for the current year</t>
  </si>
  <si>
    <t>Benefits in relation to total climate impact
[%]</t>
  </si>
  <si>
    <t>Electricity, heat and fuels</t>
  </si>
  <si>
    <t xml:space="preserve">Potential climate benefits arise from upgrading biogas and selling surplus electricity and heat from biogas boilers, heat exchange from sewage pipes, own electricity production facilities. Enter the amount of upgraded gas fed into the grid or onto flares, and the amount of electricity and heat sold to the grid in the year in question.  							</t>
  </si>
  <si>
    <t>Annual volumes [MWh]</t>
  </si>
  <si>
    <t>Specification</t>
  </si>
  <si>
    <t>Quality factor</t>
  </si>
  <si>
    <r>
      <t>Potential climate benefits 
[kg CO</t>
    </r>
    <r>
      <rPr>
        <b/>
        <vertAlign val="subscript"/>
        <sz val="11"/>
        <rFont val="Calibri"/>
        <family val="2"/>
        <scheme val="minor"/>
      </rPr>
      <t>2</t>
    </r>
    <r>
      <rPr>
        <b/>
        <sz val="11"/>
        <rFont val="Calibri"/>
        <family val="2"/>
        <scheme val="minor"/>
      </rPr>
      <t xml:space="preserve"> e/yr]</t>
    </r>
  </si>
  <si>
    <t>Vehicle fuel produced</t>
  </si>
  <si>
    <t>Surplus electricity sold on the grid</t>
  </si>
  <si>
    <t>Surplus heat sold to industry or households*</t>
  </si>
  <si>
    <t>Heat from incineration of sludge and cleaning*</t>
  </si>
  <si>
    <t xml:space="preserve">Electricity sold to the grid replaces the Nordic residual mix. </t>
  </si>
  <si>
    <t>Sold heat replaces local district heating mix.</t>
  </si>
  <si>
    <t>* Enter the environmental impact of the local district heating network from the file "District heating local environmental values 20XX". Note that (g CO2 e/kWh) = (kg CO2 e/MWh). Sum up the field Combustion and Transport and production of fuels.</t>
  </si>
  <si>
    <r>
      <t>Emission factor 
avoided production 
[kg CO</t>
    </r>
    <r>
      <rPr>
        <b/>
        <vertAlign val="subscript"/>
        <sz val="11"/>
        <rFont val="Calibri"/>
        <family val="2"/>
        <scheme val="minor"/>
      </rPr>
      <t>2</t>
    </r>
    <r>
      <rPr>
        <b/>
        <sz val="11"/>
        <rFont val="Calibri"/>
        <family val="2"/>
        <scheme val="minor"/>
      </rPr>
      <t xml:space="preserve"> e/MWh]</t>
    </r>
  </si>
  <si>
    <t>Spreading on arable land, nitrogen (N) as tot-N</t>
  </si>
  <si>
    <t>Spreading on arable land, phosphorus (P) as tot-P</t>
  </si>
  <si>
    <t>Carbon content of sludge
[% of TS]</t>
  </si>
  <si>
    <t>Nitrogen in sludge replaces AN.</t>
  </si>
  <si>
    <t>Phosphorus in sludge replaces TSP.</t>
  </si>
  <si>
    <t>Carbon sequestered in the soil is calculated as avoided carbon dioxide emissions</t>
  </si>
  <si>
    <t xml:space="preserve">Potential climate benefits from waterworks arise from the recycling of lime granules from water softening. Indicate the amount of lime sludge going to recycling. </t>
  </si>
  <si>
    <t>Handling method</t>
  </si>
  <si>
    <r>
      <t>Emission factor 
avoided production [kg CO</t>
    </r>
    <r>
      <rPr>
        <b/>
        <vertAlign val="subscript"/>
        <sz val="11"/>
        <rFont val="Calibri"/>
        <family val="2"/>
        <scheme val="minor"/>
      </rPr>
      <t>2</t>
    </r>
    <r>
      <rPr>
        <b/>
        <sz val="11"/>
        <rFont val="Calibri"/>
        <family val="2"/>
        <scheme val="minor"/>
      </rPr>
      <t xml:space="preserve"> e/ton]</t>
    </r>
  </si>
  <si>
    <t xml:space="preserve">Recycled lime granules replace limestone. </t>
  </si>
  <si>
    <t>Lime granules, recycling</t>
  </si>
  <si>
    <t>Results presentation</t>
  </si>
  <si>
    <r>
      <t>Kg CO</t>
    </r>
    <r>
      <rPr>
        <b/>
        <vertAlign val="subscript"/>
        <sz val="11"/>
        <color theme="1"/>
        <rFont val="Calibri"/>
        <family val="2"/>
        <scheme val="minor"/>
      </rPr>
      <t>2</t>
    </r>
    <r>
      <rPr>
        <b/>
        <sz val="11"/>
        <color theme="1"/>
        <rFont val="Calibri"/>
        <family val="2"/>
        <scheme val="minor"/>
      </rPr>
      <t xml:space="preserve"> e per kg reduced nitrogen</t>
    </r>
  </si>
  <si>
    <r>
      <t>Kg CO</t>
    </r>
    <r>
      <rPr>
        <b/>
        <vertAlign val="subscript"/>
        <sz val="11"/>
        <color theme="1"/>
        <rFont val="Calibri"/>
        <family val="2"/>
        <scheme val="minor"/>
      </rPr>
      <t>2</t>
    </r>
    <r>
      <rPr>
        <b/>
        <sz val="11"/>
        <color theme="1"/>
        <rFont val="Calibri"/>
        <family val="2"/>
        <scheme val="minor"/>
      </rPr>
      <t xml:space="preserve"> e per person equivalent</t>
    </r>
  </si>
  <si>
    <t>Direct emissions from company-owned cars, reserve power and heat</t>
  </si>
  <si>
    <r>
      <t>Direct emissions of N</t>
    </r>
    <r>
      <rPr>
        <b/>
        <vertAlign val="subscript"/>
        <sz val="11"/>
        <color theme="1"/>
        <rFont val="Calibri"/>
        <family val="2"/>
        <scheme val="minor"/>
      </rPr>
      <t>2</t>
    </r>
    <r>
      <rPr>
        <b/>
        <sz val="11"/>
        <color theme="1"/>
        <rFont val="Calibri"/>
        <family val="2"/>
        <scheme val="minor"/>
      </rPr>
      <t>O</t>
    </r>
  </si>
  <si>
    <r>
      <t>Direct emissions of CH</t>
    </r>
    <r>
      <rPr>
        <b/>
        <vertAlign val="subscript"/>
        <sz val="11"/>
        <color theme="1"/>
        <rFont val="Calibri"/>
        <family val="2"/>
        <scheme val="minor"/>
      </rPr>
      <t>4</t>
    </r>
  </si>
  <si>
    <r>
      <t>Direct emissions of CO</t>
    </r>
    <r>
      <rPr>
        <b/>
        <vertAlign val="subscript"/>
        <sz val="11"/>
        <color theme="1"/>
        <rFont val="Calibri"/>
        <family val="2"/>
        <scheme val="minor"/>
      </rPr>
      <t>2</t>
    </r>
    <r>
      <rPr>
        <b/>
        <sz val="11"/>
        <color theme="1"/>
        <rFont val="Calibri"/>
        <family val="2"/>
        <scheme val="minor"/>
      </rPr>
      <t xml:space="preserve"> from respiration of carbon source</t>
    </r>
  </si>
  <si>
    <t>Electricity, heating and district cooling consumption</t>
  </si>
  <si>
    <t xml:space="preserve">Indirect emissions from company-owned cars and reserve power </t>
  </si>
  <si>
    <t>Indirect emissions from the production of chemicals</t>
  </si>
  <si>
    <t>Purchased transport, by logistics companies</t>
  </si>
  <si>
    <t>Emissions from residual products</t>
  </si>
  <si>
    <t>Total climate impact</t>
  </si>
  <si>
    <t>Scope 1 emissions</t>
  </si>
  <si>
    <t>Scope 2 emissions</t>
  </si>
  <si>
    <t>Benefits in relation to total climate impact_x000D_
[%]</t>
  </si>
  <si>
    <t>Detailed results presentation</t>
  </si>
  <si>
    <t>1. Electricity consumption</t>
  </si>
  <si>
    <t>Hydropower</t>
  </si>
  <si>
    <r>
      <t>Operation [kg CO</t>
    </r>
    <r>
      <rPr>
        <b/>
        <vertAlign val="subscript"/>
        <sz val="11"/>
        <color theme="1"/>
        <rFont val="Calibri"/>
        <family val="2"/>
        <scheme val="minor"/>
      </rPr>
      <t>2</t>
    </r>
    <r>
      <rPr>
        <b/>
        <sz val="11"/>
        <color theme="1"/>
        <rFont val="Calibri"/>
        <family val="2"/>
        <scheme val="minor"/>
      </rPr>
      <t xml:space="preserve"> e/yr]</t>
    </r>
  </si>
  <si>
    <t>1. Heat consumption</t>
  </si>
  <si>
    <r>
      <t>Heat indirect [kg CO</t>
    </r>
    <r>
      <rPr>
        <b/>
        <vertAlign val="subscript"/>
        <sz val="11"/>
        <color theme="1"/>
        <rFont val="Calibri"/>
        <family val="2"/>
        <scheme val="minor"/>
      </rPr>
      <t>2</t>
    </r>
    <r>
      <rPr>
        <b/>
        <sz val="11"/>
        <color theme="1"/>
        <rFont val="Calibri"/>
        <family val="2"/>
        <scheme val="minor"/>
      </rPr>
      <t xml:space="preserve"> e/yr]</t>
    </r>
  </si>
  <si>
    <r>
      <t>Heat direct [kg CO</t>
    </r>
    <r>
      <rPr>
        <b/>
        <vertAlign val="subscript"/>
        <sz val="11"/>
        <color theme="1"/>
        <rFont val="Calibri"/>
        <family val="2"/>
        <scheme val="minor"/>
      </rPr>
      <t>2</t>
    </r>
    <r>
      <rPr>
        <b/>
        <sz val="11"/>
        <color theme="1"/>
        <rFont val="Calibri"/>
        <family val="2"/>
        <scheme val="minor"/>
      </rPr>
      <t xml:space="preserve"> e/yr]</t>
    </r>
  </si>
  <si>
    <t>3. Residual products</t>
  </si>
  <si>
    <t>Clarification</t>
  </si>
  <si>
    <t>Residual products [kg CO2 e/yr]</t>
  </si>
  <si>
    <t>Transport [kg CO2 e/yr]</t>
  </si>
  <si>
    <t>Activated carbon</t>
  </si>
  <si>
    <t>Lime sludge or lime pellets</t>
  </si>
  <si>
    <t>4. Digester and biogas</t>
  </si>
  <si>
    <t>Methane emissions from digesters</t>
  </si>
  <si>
    <t>Methane emissions from in-house upgrading</t>
  </si>
  <si>
    <t>Methane emissions from third-party upgrading</t>
  </si>
  <si>
    <t>Methane emissions from boiler combustion</t>
  </si>
  <si>
    <t>Methane emissions from flaring</t>
  </si>
  <si>
    <t>Methane emissions from cold flaring</t>
  </si>
  <si>
    <t>Methane emissions from water phase</t>
  </si>
  <si>
    <t>Nitrous oxide emissions from water phase</t>
  </si>
  <si>
    <t>Nitrous oxide emissions separate reject water treatment</t>
  </si>
  <si>
    <t>Methane emissions from sludge storage</t>
  </si>
  <si>
    <t>Nitrous oxide emissions from sludge storage</t>
  </si>
  <si>
    <t>Methane emissions from recipient</t>
  </si>
  <si>
    <t>Nitrous oxide emissions from recipient</t>
  </si>
  <si>
    <t>6. Carbon source</t>
  </si>
  <si>
    <t>Indirect [kg CO2 e/yr]</t>
  </si>
  <si>
    <t>Direct [kg CO2 e/yr]</t>
  </si>
  <si>
    <t>9. Other chemicals</t>
  </si>
  <si>
    <t>Results presentation of potential climate benefits</t>
  </si>
  <si>
    <t>9. Water consumption</t>
  </si>
  <si>
    <t>Handling</t>
  </si>
  <si>
    <t>Consumption [MWh/yr]</t>
  </si>
  <si>
    <t>References</t>
  </si>
  <si>
    <t>For full references, see the supplementary user manual.</t>
  </si>
  <si>
    <t xml:space="preserve">Wind power </t>
  </si>
  <si>
    <t>Source</t>
  </si>
  <si>
    <t>Heat source</t>
  </si>
  <si>
    <t>Natural gas</t>
  </si>
  <si>
    <t>District heating</t>
  </si>
  <si>
    <t>Carbon sources</t>
  </si>
  <si>
    <t>Emissions from respiration</t>
  </si>
  <si>
    <t>Precipitants</t>
  </si>
  <si>
    <t>Potential climate benefits</t>
  </si>
  <si>
    <t>Electricity</t>
  </si>
  <si>
    <t>Heat</t>
  </si>
  <si>
    <t>Commercial fertilizer, nitrogen</t>
  </si>
  <si>
    <t>Commercial fertilizer, phosphorus</t>
  </si>
  <si>
    <t>Quality factor, nitrogen in sludge</t>
  </si>
  <si>
    <t>Quality factor, phosphorus in sludge</t>
  </si>
  <si>
    <t>Lime</t>
  </si>
  <si>
    <t>Carbon storage in sludge fertilized soils</t>
  </si>
  <si>
    <t>Soil</t>
  </si>
  <si>
    <t>Unit</t>
  </si>
  <si>
    <t>Selected value</t>
  </si>
  <si>
    <t>Direct emission</t>
  </si>
  <si>
    <t>Nitrous oxide from nitrification</t>
  </si>
  <si>
    <t>Nitrous oxide from nitritation</t>
  </si>
  <si>
    <t>Biogas density</t>
  </si>
  <si>
    <t>Methane from sludge storage</t>
  </si>
  <si>
    <t>Calorific value of sewage sludge</t>
  </si>
  <si>
    <t>Methane from water phase</t>
  </si>
  <si>
    <t>Efficiency, heat recovery from sludge and rens</t>
  </si>
  <si>
    <t>Characterization factors from IPCC AR5</t>
  </si>
  <si>
    <t>Carbon dioxide (fossil origin)</t>
  </si>
  <si>
    <t>Nitrous oxide</t>
  </si>
  <si>
    <r>
      <t>kg CO</t>
    </r>
    <r>
      <rPr>
        <vertAlign val="subscript"/>
        <sz val="11"/>
        <color theme="1"/>
        <rFont val="Calibri"/>
        <family val="2"/>
        <scheme val="minor"/>
      </rPr>
      <t>2</t>
    </r>
    <r>
      <rPr>
        <sz val="11"/>
        <color theme="1"/>
        <rFont val="Calibri"/>
        <family val="2"/>
        <scheme val="minor"/>
      </rPr>
      <t>-equivalent</t>
    </r>
  </si>
  <si>
    <t>Sand, landfill</t>
  </si>
  <si>
    <t>Sewage sludge, for waste incineration plant</t>
  </si>
  <si>
    <t>Sewage sludge, for landfill cover</t>
  </si>
  <si>
    <t>Sewage sludge, for soil preparation</t>
  </si>
  <si>
    <t>Waterworks sludge, for landfill</t>
  </si>
  <si>
    <t>Lime sludge, for landfill</t>
  </si>
  <si>
    <t>Sewage sludge, spreading on arable land</t>
  </si>
  <si>
    <t>Sources</t>
  </si>
  <si>
    <t>Digester and biogas</t>
  </si>
  <si>
    <t>Biogas, for upgrading</t>
  </si>
  <si>
    <t>Biogas, for combustion in boiler</t>
  </si>
  <si>
    <t>Biogas, for flaring</t>
  </si>
  <si>
    <t>Other chemicals</t>
  </si>
  <si>
    <t>Transport</t>
  </si>
  <si>
    <t>Truck, diesel-powered</t>
  </si>
  <si>
    <t>Truck, HVO</t>
  </si>
  <si>
    <t xml:space="preserve">Emission factors for calculating estimated emissions					</t>
  </si>
  <si>
    <t>Own notes</t>
  </si>
  <si>
    <t xml:space="preserve">Here you can add your own notes and comments to the calculations for easier follow-up. </t>
  </si>
  <si>
    <t>Fuels</t>
  </si>
  <si>
    <t>Electricity and heat</t>
  </si>
  <si>
    <t>Lime granules</t>
  </si>
  <si>
    <t>Potential climate benefits 
[kg CO2 e/yr]</t>
  </si>
  <si>
    <t>Share of carbon assumed 
to sequester into soil</t>
  </si>
  <si>
    <r>
      <rPr>
        <b/>
        <u/>
        <sz val="12"/>
        <color theme="1"/>
        <rFont val="Arial"/>
        <family val="2"/>
      </rPr>
      <t>Looking for more information?</t>
    </r>
    <r>
      <rPr>
        <sz val="12"/>
        <color theme="1"/>
        <rFont val="Arial"/>
        <family val="2"/>
      </rPr>
      <t xml:space="preserve">
If you are interested in knowing more about the tool, you can read the 
complementary user manual available for download at Svenskt Vatten.</t>
    </r>
  </si>
  <si>
    <t>[Wastewater treatment plant/drinking water treatment plant]</t>
  </si>
  <si>
    <t>1. Electricity and heat consumption - for wastewater treatment plant and drinking water plant</t>
  </si>
  <si>
    <t>Enter electricity and heat consumption in the green fields relevant to the plant. Not all green fields need to be filled in. The information entered should be on an annual basis.
If you don't know the origin label of the electricity, then choose Nordic residual mix. In the line at the bottom ("Other") you can enter your own emission factor from the supplier. 
Electricity consumption for sewer system should include all pumps upstream and downstream from the plant, to the recipient or drinking water customer. Inlet pumps are included in the plant operation.</t>
  </si>
  <si>
    <t>Enter fuel consumption for company-owned vehicles as well as back-up power in the green fields relevant to the plant in question. All green fields do not need to be filled in. The information entered must be on an annual basis. If the consumption cannot be divided easily between the organisation's various facilities, then divide the total fuel consumption by the number of facilities.
If EcoPar was used during the current year - enter consumption on the same line as Diesel MK1.
In the line at the bottom ("Other"), you can enter your own emission factor from the supplier.</t>
  </si>
  <si>
    <t>3. Residual products - for wastewater treatment plant and drinking water plant</t>
  </si>
  <si>
    <t>Screenings</t>
  </si>
  <si>
    <t>Sludge from drinking water plant and similar residual products 
 from precipitation of organic substances</t>
  </si>
  <si>
    <r>
      <t>Water phase - methane (CH</t>
    </r>
    <r>
      <rPr>
        <b/>
        <vertAlign val="subscript"/>
        <sz val="11"/>
        <color theme="1"/>
        <rFont val="Calibri"/>
        <family val="2"/>
        <scheme val="minor"/>
      </rPr>
      <t>4</t>
    </r>
    <r>
      <rPr>
        <b/>
        <sz val="11"/>
        <color theme="1"/>
        <rFont val="Calibri"/>
        <family val="2"/>
        <scheme val="minor"/>
      </rPr>
      <t xml:space="preserve">)	</t>
    </r>
  </si>
  <si>
    <r>
      <t>Sludge storage - methane (CH</t>
    </r>
    <r>
      <rPr>
        <b/>
        <vertAlign val="subscript"/>
        <sz val="11"/>
        <rFont val="Calibri"/>
        <family val="2"/>
        <scheme val="minor"/>
      </rPr>
      <t>4</t>
    </r>
    <r>
      <rPr>
        <b/>
        <sz val="11"/>
        <rFont val="Calibri"/>
        <family val="2"/>
        <scheme val="minor"/>
      </rPr>
      <t>) and nitrous oxide (N</t>
    </r>
    <r>
      <rPr>
        <b/>
        <vertAlign val="subscript"/>
        <sz val="11"/>
        <rFont val="Calibri"/>
        <family val="2"/>
        <scheme val="minor"/>
      </rPr>
      <t>2</t>
    </r>
    <r>
      <rPr>
        <b/>
        <sz val="11"/>
        <rFont val="Calibri"/>
        <family val="2"/>
        <scheme val="minor"/>
      </rPr>
      <t xml:space="preserve">O)	</t>
    </r>
  </si>
  <si>
    <r>
      <t>Upgrading and use of biogas - methane (CH</t>
    </r>
    <r>
      <rPr>
        <b/>
        <vertAlign val="subscript"/>
        <sz val="11"/>
        <color theme="1"/>
        <rFont val="Calibri"/>
        <family val="2"/>
        <scheme val="minor"/>
      </rPr>
      <t>4</t>
    </r>
    <r>
      <rPr>
        <b/>
        <sz val="11"/>
        <color theme="1"/>
        <rFont val="Calibri"/>
        <family val="2"/>
        <scheme val="minor"/>
      </rPr>
      <t>)</t>
    </r>
  </si>
  <si>
    <r>
      <t>Amount [Nm</t>
    </r>
    <r>
      <rPr>
        <b/>
        <vertAlign val="superscript"/>
        <sz val="11"/>
        <color theme="1"/>
        <rFont val="Calibri"/>
        <family val="2"/>
        <scheme val="minor"/>
      </rPr>
      <t>3</t>
    </r>
    <r>
      <rPr>
        <b/>
        <sz val="11"/>
        <color theme="1"/>
        <rFont val="Calibri"/>
        <family val="2"/>
        <scheme val="minor"/>
      </rPr>
      <t>/yr]</t>
    </r>
  </si>
  <si>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r>
      <rPr>
        <b/>
        <sz val="11"/>
        <rFont val="Calibri"/>
        <family val="2"/>
        <scheme val="minor"/>
      </rPr>
      <t xml:space="preserve"> - wastewater treatment plants only</t>
    </r>
  </si>
  <si>
    <r>
      <t>Water phase - nitrous oxide (N</t>
    </r>
    <r>
      <rPr>
        <b/>
        <vertAlign val="subscript"/>
        <sz val="11"/>
        <color theme="1"/>
        <rFont val="Calibri"/>
        <family val="2"/>
        <scheme val="minor"/>
      </rPr>
      <t>2</t>
    </r>
    <r>
      <rPr>
        <b/>
        <sz val="11"/>
        <color theme="1"/>
        <rFont val="Calibri"/>
        <family val="2"/>
        <scheme val="minor"/>
      </rPr>
      <t>O)</t>
    </r>
  </si>
  <si>
    <r>
      <t>Separate reject water treatment - nitrous oxide (N</t>
    </r>
    <r>
      <rPr>
        <b/>
        <vertAlign val="subscript"/>
        <sz val="11"/>
        <color theme="1"/>
        <rFont val="Calibri"/>
        <family val="2"/>
        <scheme val="minor"/>
      </rPr>
      <t>2</t>
    </r>
    <r>
      <rPr>
        <b/>
        <sz val="11"/>
        <color theme="1"/>
        <rFont val="Calibri"/>
        <family val="2"/>
        <scheme val="minor"/>
      </rPr>
      <t>O)</t>
    </r>
  </si>
  <si>
    <r>
      <t>Recipient - methane (CH</t>
    </r>
    <r>
      <rPr>
        <b/>
        <vertAlign val="subscript"/>
        <sz val="11"/>
        <color theme="1"/>
        <rFont val="Calibri"/>
        <family val="2"/>
        <scheme val="minor"/>
      </rPr>
      <t>4</t>
    </r>
    <r>
      <rPr>
        <b/>
        <sz val="11"/>
        <color theme="1"/>
        <rFont val="Calibri"/>
        <family val="2"/>
        <scheme val="minor"/>
      </rPr>
      <t>) and nitrous oxide (N</t>
    </r>
    <r>
      <rPr>
        <b/>
        <vertAlign val="subscript"/>
        <sz val="11"/>
        <color theme="1"/>
        <rFont val="Calibri"/>
        <family val="2"/>
        <scheme val="minor"/>
      </rPr>
      <t>2</t>
    </r>
    <r>
      <rPr>
        <b/>
        <sz val="11"/>
        <color theme="1"/>
        <rFont val="Calibri"/>
        <family val="2"/>
        <scheme val="minor"/>
      </rPr>
      <t>O)</t>
    </r>
  </si>
  <si>
    <t>Residual products from drinking water plants</t>
  </si>
  <si>
    <t>Sludge from wastewater treatment plant</t>
  </si>
  <si>
    <t>Sludge from wastewater treatment plants</t>
  </si>
  <si>
    <t xml:space="preserve">Potential climate benefits from sludge  from wastewater treatment plants arise from the production of soil and from the application of sludge to arable land. Indicate the amount of sludge used for soil production and the amounts of total nitrogen and total phosphorus applied to arable land. Also indicate the carbon content of the sludge in order to calculate the potential climate benefit from carbon storage when applied to arable land (otherwise indicate the VS content as % of TS as an approximation if the carbon content is not known). 	</t>
  </si>
  <si>
    <r>
      <t>Composted sludge replaces peat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t>
    </r>
  </si>
  <si>
    <t>Based on weight/volume ratio</t>
  </si>
  <si>
    <t>Fraction and handling method</t>
  </si>
  <si>
    <t xml:space="preserve">Drinking water plants </t>
  </si>
  <si>
    <t>Wastewater treatment plants</t>
  </si>
  <si>
    <t>Scope 3 emissions
Upstream</t>
  </si>
  <si>
    <t>Scope 3 emissions
Downstream</t>
  </si>
  <si>
    <r>
      <t>Sewer system [kg CO</t>
    </r>
    <r>
      <rPr>
        <b/>
        <vertAlign val="subscript"/>
        <sz val="11"/>
        <color theme="1"/>
        <rFont val="Calibri"/>
        <family val="2"/>
        <scheme val="minor"/>
      </rPr>
      <t>2</t>
    </r>
    <r>
      <rPr>
        <b/>
        <sz val="11"/>
        <color theme="1"/>
        <rFont val="Calibri"/>
        <family val="2"/>
        <scheme val="minor"/>
      </rPr>
      <t xml:space="preserve"> e/yr]</t>
    </r>
  </si>
  <si>
    <t>Sludge from drinking water plant</t>
  </si>
  <si>
    <r>
      <t>[kg CO</t>
    </r>
    <r>
      <rPr>
        <b/>
        <vertAlign val="subscript"/>
        <sz val="11"/>
        <rFont val="Calibri"/>
        <family val="2"/>
        <scheme val="minor"/>
      </rPr>
      <t>2</t>
    </r>
    <r>
      <rPr>
        <b/>
        <sz val="11"/>
        <rFont val="Calibri"/>
        <family val="2"/>
        <scheme val="minor"/>
      </rPr>
      <t xml:space="preserve"> e/yr]</t>
    </r>
  </si>
  <si>
    <t>2. Fuel</t>
  </si>
  <si>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</si>
  <si>
    <t>Methane missions from recipient</t>
  </si>
  <si>
    <r>
      <t>Indirect [kg CO</t>
    </r>
    <r>
      <rPr>
        <b/>
        <vertAlign val="subscript"/>
        <sz val="11"/>
        <rFont val="Calibri"/>
        <family val="2"/>
        <scheme val="minor"/>
      </rPr>
      <t>2</t>
    </r>
    <r>
      <rPr>
        <b/>
        <sz val="11"/>
        <rFont val="Calibri"/>
        <family val="2"/>
        <scheme val="minor"/>
      </rPr>
      <t xml:space="preserve"> e/yr]</t>
    </r>
  </si>
  <si>
    <r>
      <t>Direct [kg CO</t>
    </r>
    <r>
      <rPr>
        <b/>
        <vertAlign val="subscript"/>
        <sz val="11"/>
        <rFont val="Calibri"/>
        <family val="2"/>
        <scheme val="minor"/>
      </rPr>
      <t>2</t>
    </r>
    <r>
      <rPr>
        <b/>
        <sz val="11"/>
        <rFont val="Calibri"/>
        <family val="2"/>
        <scheme val="minor"/>
      </rPr>
      <t xml:space="preserve"> e/yr]</t>
    </r>
  </si>
  <si>
    <r>
      <t>Transport [kg CO</t>
    </r>
    <r>
      <rPr>
        <b/>
        <vertAlign val="subscript"/>
        <sz val="11"/>
        <rFont val="Calibri"/>
        <family val="2"/>
        <scheme val="minor"/>
      </rPr>
      <t>2</t>
    </r>
    <r>
      <rPr>
        <b/>
        <sz val="11"/>
        <rFont val="Calibri"/>
        <family val="2"/>
        <scheme val="minor"/>
      </rPr>
      <t xml:space="preserve"> e/yr]</t>
    </r>
  </si>
  <si>
    <r>
      <t>Polymer [kg CO</t>
    </r>
    <r>
      <rPr>
        <b/>
        <vertAlign val="subscript"/>
        <sz val="11"/>
        <rFont val="Calibri"/>
        <family val="2"/>
        <scheme val="minor"/>
      </rPr>
      <t>2</t>
    </r>
    <r>
      <rPr>
        <b/>
        <sz val="11"/>
        <rFont val="Calibri"/>
        <family val="2"/>
        <scheme val="minor"/>
      </rPr>
      <t xml:space="preserve"> e/yr]</t>
    </r>
  </si>
  <si>
    <r>
      <t>Chemical [kg CO</t>
    </r>
    <r>
      <rPr>
        <b/>
        <vertAlign val="subscript"/>
        <sz val="11"/>
        <color theme="1"/>
        <rFont val="Calibri"/>
        <family val="2"/>
        <scheme val="minor"/>
      </rPr>
      <t>2</t>
    </r>
    <r>
      <rPr>
        <b/>
        <sz val="11"/>
        <color theme="1"/>
        <rFont val="Calibri"/>
        <family val="2"/>
        <scheme val="minor"/>
      </rPr>
      <t xml:space="preserve"> e/yr]</t>
    </r>
  </si>
  <si>
    <r>
      <t>Transport [kg CO</t>
    </r>
    <r>
      <rPr>
        <b/>
        <vertAlign val="subscript"/>
        <sz val="11"/>
        <color theme="1"/>
        <rFont val="Calibri"/>
        <family val="2"/>
        <scheme val="minor"/>
      </rPr>
      <t>2</t>
    </r>
    <r>
      <rPr>
        <b/>
        <sz val="11"/>
        <color theme="1"/>
        <rFont val="Calibri"/>
        <family val="2"/>
        <scheme val="minor"/>
      </rPr>
      <t xml:space="preserve"> e/yr]</t>
    </r>
  </si>
  <si>
    <r>
      <t>Drinking water [kg CO</t>
    </r>
    <r>
      <rPr>
        <b/>
        <vertAlign val="subscript"/>
        <sz val="11"/>
        <rFont val="Calibri"/>
        <family val="2"/>
        <scheme val="minor"/>
      </rPr>
      <t>2</t>
    </r>
    <r>
      <rPr>
        <b/>
        <sz val="11"/>
        <rFont val="Calibri"/>
        <family val="2"/>
        <scheme val="minor"/>
      </rPr>
      <t xml:space="preserve"> e/yr]</t>
    </r>
  </si>
  <si>
    <r>
      <t>Chemical [kg CO</t>
    </r>
    <r>
      <rPr>
        <b/>
        <vertAlign val="subscript"/>
        <sz val="11"/>
        <rFont val="Calibri"/>
        <family val="2"/>
        <scheme val="minor"/>
      </rPr>
      <t>2</t>
    </r>
    <r>
      <rPr>
        <b/>
        <sz val="11"/>
        <rFont val="Calibri"/>
        <family val="2"/>
        <scheme val="minor"/>
      </rPr>
      <t xml:space="preserve"> e/yr]</t>
    </r>
  </si>
  <si>
    <t xml:space="preserve">Climate calculation tool for drinking water and wastewater treatment plants	</t>
  </si>
  <si>
    <t>2. Fuel and backup power - for wastewater treatment plant and drinking water plant</t>
  </si>
  <si>
    <t>Water utility:</t>
  </si>
  <si>
    <t>[To which water utility does the plant belong?]</t>
  </si>
  <si>
    <r>
      <rPr>
        <b/>
        <u/>
        <sz val="12"/>
        <color theme="1"/>
        <rFont val="Arial"/>
        <family val="2"/>
      </rPr>
      <t>How do I add or update data in the tool?</t>
    </r>
    <r>
      <rPr>
        <sz val="12"/>
        <color theme="1"/>
        <rFont val="Arial"/>
        <family val="2"/>
      </rPr>
      <t xml:space="preserve">
Data are entered in the green fields in the tabs called "Enter data here" 
and "Enter data for chemicals here". Also data for transport and 
own emissions factors are entered here. 
Enter data for one plant at a time. </t>
    </r>
  </si>
  <si>
    <t>Nuclear power</t>
  </si>
  <si>
    <t>Grid 
consumption [MWh/yr]</t>
  </si>
  <si>
    <t>Measured value</t>
  </si>
  <si>
    <t>Weight [tonnes/yr]</t>
  </si>
  <si>
    <r>
      <t>Emissions factor 
[kg CO</t>
    </r>
    <r>
      <rPr>
        <b/>
        <vertAlign val="subscript"/>
        <sz val="11"/>
        <rFont val="Calibri"/>
        <family val="2"/>
        <scheme val="minor"/>
      </rPr>
      <t>2</t>
    </r>
    <r>
      <rPr>
        <b/>
        <sz val="11"/>
        <rFont val="Calibri"/>
        <family val="2"/>
        <scheme val="minor"/>
      </rPr>
      <t xml:space="preserve"> e/tkm]</t>
    </r>
  </si>
  <si>
    <r>
      <t>Emissions factor
[kg CO</t>
    </r>
    <r>
      <rPr>
        <b/>
        <vertAlign val="subscript"/>
        <sz val="11"/>
        <rFont val="Calibri"/>
        <family val="2"/>
        <scheme val="minor"/>
      </rPr>
      <t>2</t>
    </r>
    <r>
      <rPr>
        <b/>
        <sz val="11"/>
        <rFont val="Calibri"/>
        <family val="2"/>
        <scheme val="minor"/>
      </rPr>
      <t xml:space="preserve"> e/tonne]</t>
    </r>
  </si>
  <si>
    <t>Amount consumed
[tonnes/yr]</t>
  </si>
  <si>
    <r>
      <t>Transport emission factor
[kg CO</t>
    </r>
    <r>
      <rPr>
        <b/>
        <vertAlign val="subscript"/>
        <sz val="11"/>
        <rFont val="Calibri"/>
        <family val="2"/>
        <scheme val="minor"/>
      </rPr>
      <t>2</t>
    </r>
    <r>
      <rPr>
        <b/>
        <sz val="11"/>
        <rFont val="Calibri"/>
        <family val="2"/>
        <scheme val="minor"/>
      </rPr>
      <t xml:space="preserve"> e/tkm]</t>
    </r>
  </si>
  <si>
    <t>Amount consumed 
[tonnes/yr]</t>
  </si>
  <si>
    <r>
      <t>Emission factor chemical 
[kg CO</t>
    </r>
    <r>
      <rPr>
        <b/>
        <vertAlign val="subscript"/>
        <sz val="11"/>
        <rFont val="Calibri"/>
        <family val="2"/>
        <scheme val="minor"/>
      </rPr>
      <t>2</t>
    </r>
    <r>
      <rPr>
        <b/>
        <sz val="11"/>
        <rFont val="Calibri"/>
        <family val="2"/>
        <scheme val="minor"/>
      </rPr>
      <t xml:space="preserve"> e/tonne] </t>
    </r>
  </si>
  <si>
    <r>
      <t>Emission factor carbon source production
[kg CO</t>
    </r>
    <r>
      <rPr>
        <b/>
        <vertAlign val="subscript"/>
        <sz val="11"/>
        <rFont val="Calibri"/>
        <family val="2"/>
        <scheme val="minor"/>
      </rPr>
      <t>2</t>
    </r>
    <r>
      <rPr>
        <b/>
        <sz val="11"/>
        <rFont val="Calibri"/>
        <family val="2"/>
        <scheme val="minor"/>
      </rPr>
      <t xml:space="preserve"> e/tonne] </t>
    </r>
  </si>
  <si>
    <r>
      <t>Emission factor carbon source respiration
[kg CO</t>
    </r>
    <r>
      <rPr>
        <b/>
        <vertAlign val="subscript"/>
        <sz val="11"/>
        <rFont val="Calibri"/>
        <family val="2"/>
        <scheme val="minor"/>
      </rPr>
      <t>2</t>
    </r>
    <r>
      <rPr>
        <b/>
        <sz val="11"/>
        <rFont val="Calibri"/>
        <family val="2"/>
        <scheme val="minor"/>
      </rPr>
      <t xml:space="preserve"> e/tonne] </t>
    </r>
  </si>
  <si>
    <t>6. Consumption of carbon sources - wastewater treatment plants only</t>
  </si>
  <si>
    <t>7. Consumption of coagulants - for wastewater treatment plants and drinking water plants</t>
  </si>
  <si>
    <t>Coagulants</t>
  </si>
  <si>
    <t xml:space="preserve">Enter the amount of coagulants consumed at the plant per year. Not all green fields need to be filled in.
Enter information on the transport distance from the producer to the plant and fuel used during transport.
If you do not know the distance, leave the pre-filled transport distance. If you do not know which fuel is used, select diesel from the drop-down list. </t>
  </si>
  <si>
    <t>Enter the amount of carbon sources consumed at the plant per year. Not all green fields need to be filled in.
Enter information on the transport distance from the producer to the plant and the fuel used during transport.
If you do not know the distance, leave the pre-filled transport distance. If you do not know which fuel is used, select diesel from the drop-down list.
In the line at the bottom ("Other"), you can enter your own emission factor from the supplier.</t>
  </si>
  <si>
    <t xml:space="preserve">8. Consumption of polymers - for wastewater treatment plants and drinking water plants						</t>
  </si>
  <si>
    <t>Enter the amount of polymer consumed at the plant per year. Not all green fields need to be filled in.
Enter information on the transport distance from producer to facility and fuel used during transport.
If you do not know the distance, leave the pre-filled transport distance. If you do not know which fuel is used, select diesel from the drop-down list. "</t>
  </si>
  <si>
    <r>
      <t>Emission factor 
[kg CO</t>
    </r>
    <r>
      <rPr>
        <b/>
        <vertAlign val="subscript"/>
        <sz val="11"/>
        <rFont val="Calibri"/>
        <family val="2"/>
        <scheme val="minor"/>
      </rPr>
      <t>2</t>
    </r>
    <r>
      <rPr>
        <b/>
        <sz val="11"/>
        <rFont val="Calibri"/>
        <family val="2"/>
        <scheme val="minor"/>
      </rPr>
      <t xml:space="preserve"> e/tkm]</t>
    </r>
  </si>
  <si>
    <t>Polyacrylamide (solid)</t>
  </si>
  <si>
    <t xml:space="preserve">9. Consumption of other chemicals - for wastewater treatment plants and drinking water plants					</t>
  </si>
  <si>
    <t xml:space="preserve">Enter the amount of other chemicals consumed at the plant per year. All chemicals are given as 100% concentration unless otherwise stated. Not all green fields need to be filled in. 
Enter information on transport distance from producer to plant and fuel used during transport, one way. 
If you do not know the distance, please leave the pre-filled transport distance. If you do not know the fuel used, leave the field blank or select diesel from the drop-down list. "	</t>
  </si>
  <si>
    <r>
      <t>Amount consumed 
[m</t>
    </r>
    <r>
      <rPr>
        <b/>
        <vertAlign val="superscript"/>
        <sz val="11"/>
        <rFont val="Calibri"/>
        <family val="2"/>
        <scheme val="minor"/>
      </rPr>
      <t>3</t>
    </r>
    <r>
      <rPr>
        <b/>
        <sz val="11"/>
        <rFont val="Calibri"/>
        <family val="2"/>
        <scheme val="minor"/>
      </rPr>
      <t>/yr]</t>
    </r>
  </si>
  <si>
    <t>Sodium hypochlorite (50 %)</t>
  </si>
  <si>
    <t>Sulphuric acid (96 %)</t>
  </si>
  <si>
    <t>Nitric acid (60 %)</t>
  </si>
  <si>
    <t>Upgraded biogas replaces a fossil fuel.</t>
  </si>
  <si>
    <r>
      <t>TOTAL
[tonnes CO</t>
    </r>
    <r>
      <rPr>
        <b/>
        <vertAlign val="subscript"/>
        <sz val="11"/>
        <color theme="1"/>
        <rFont val="Calibri"/>
        <family val="2"/>
        <scheme val="minor"/>
      </rPr>
      <t>2</t>
    </r>
    <r>
      <rPr>
        <b/>
        <sz val="11"/>
        <color theme="1"/>
        <rFont val="Calibri"/>
        <family val="2"/>
        <scheme val="minor"/>
      </rPr>
      <t xml:space="preserve"> e per yr]</t>
    </r>
  </si>
  <si>
    <r>
      <t>Electricity, heat and fuels
[tonnes CO</t>
    </r>
    <r>
      <rPr>
        <b/>
        <vertAlign val="subscript"/>
        <sz val="11"/>
        <color theme="1"/>
        <rFont val="Calibri"/>
        <family val="2"/>
        <scheme val="minor"/>
      </rPr>
      <t>2</t>
    </r>
    <r>
      <rPr>
        <b/>
        <sz val="11"/>
        <color theme="1"/>
        <rFont val="Calibri"/>
        <family val="2"/>
        <scheme val="minor"/>
      </rPr>
      <t xml:space="preserve"> e per yr]</t>
    </r>
  </si>
  <si>
    <r>
      <t>Sludge from wastewater plants
[tonnes CO</t>
    </r>
    <r>
      <rPr>
        <b/>
        <vertAlign val="subscript"/>
        <sz val="11"/>
        <color theme="1"/>
        <rFont val="Calibri"/>
        <family val="2"/>
        <scheme val="minor"/>
      </rPr>
      <t>2</t>
    </r>
    <r>
      <rPr>
        <b/>
        <sz val="11"/>
        <color theme="1"/>
        <rFont val="Calibri"/>
        <family val="2"/>
        <scheme val="minor"/>
      </rPr>
      <t xml:space="preserve"> e per yr]</t>
    </r>
  </si>
  <si>
    <r>
      <t>Drinking water plants
[tonnes CO</t>
    </r>
    <r>
      <rPr>
        <b/>
        <vertAlign val="subscript"/>
        <sz val="11"/>
        <color theme="1"/>
        <rFont val="Calibri"/>
        <family val="2"/>
        <scheme val="minor"/>
      </rPr>
      <t>2</t>
    </r>
    <r>
      <rPr>
        <b/>
        <sz val="11"/>
        <color theme="1"/>
        <rFont val="Calibri"/>
        <family val="2"/>
        <scheme val="minor"/>
      </rPr>
      <t xml:space="preserve"> e per yr]</t>
    </r>
  </si>
  <si>
    <t>Amount of sludge recovered [tonnes/yr]</t>
  </si>
  <si>
    <t>Annual volumes [tonnes]</t>
  </si>
  <si>
    <r>
      <t>tonnes CO</t>
    </r>
    <r>
      <rPr>
        <b/>
        <vertAlign val="subscript"/>
        <sz val="11"/>
        <color theme="1"/>
        <rFont val="Calibri"/>
        <family val="2"/>
        <scheme val="minor"/>
      </rPr>
      <t>2</t>
    </r>
    <r>
      <rPr>
        <b/>
        <sz val="11"/>
        <color theme="1"/>
        <rFont val="Calibri"/>
        <family val="2"/>
        <scheme val="minor"/>
      </rPr>
      <t xml:space="preserve"> e</t>
    </r>
  </si>
  <si>
    <t>Svensk solenergi (2022)</t>
  </si>
  <si>
    <t>Vattenfall (2022)</t>
  </si>
  <si>
    <t>EO1, produktion och förbränning (Gode et al. 2011)</t>
  </si>
  <si>
    <t>Naturgas, produktion och förbränning (Gode et al. 2011)</t>
  </si>
  <si>
    <t>Antagande att avfallet består av 50% stenkol och ca 40% vatten. EF för stenkol från Gode et al. (2011).</t>
  </si>
  <si>
    <t xml:space="preserve">Förbränning av hushållsavfall (Gode et al. 2011). Ca 10 MJ/kg energiinnehåll (Östlund, 2003). </t>
  </si>
  <si>
    <t>Aktivt kol, från stenkol (Hoyer et al. 2022)</t>
  </si>
  <si>
    <t>Reaktivering av förbrukat aktivt kol (Hoyer et al. 2022)</t>
  </si>
  <si>
    <t>Sand eller finmald aggregat (NCC, 2022)</t>
  </si>
  <si>
    <t xml:space="preserve">GCC fine (malen kalksten) (CCA, 2021) </t>
  </si>
  <si>
    <t>Klorgas, europeiskt medelvärde (Euro Chlor, 2022)</t>
  </si>
  <si>
    <t>Natriumhypoklorit (50%), europeiskt medelvärde (Euro Chlor, 2022)</t>
  </si>
  <si>
    <t>Salpetersyra (60% HNO3), europeiskt medelvärde (Fertilizers Europe, 2011)</t>
  </si>
  <si>
    <t>Fossil motsvarighet till biodrivmedel på 94 g CO2e/MJ (EU-direktiv 2018/2001)</t>
  </si>
  <si>
    <t>MJ/tonne</t>
  </si>
  <si>
    <t>Fossil free</t>
  </si>
  <si>
    <t>Magnusson &amp; Yngvesson (2023)</t>
  </si>
  <si>
    <t>Brenntaplus</t>
  </si>
  <si>
    <t>Brenntag (2023)</t>
  </si>
  <si>
    <t>Hydrogen peroxide (49%)</t>
  </si>
  <si>
    <t>Energimarknadsinspektionen (2024)</t>
  </si>
  <si>
    <t>Diesel MK3</t>
  </si>
  <si>
    <r>
      <t xml:space="preserve">Biogas, externally produced </t>
    </r>
    <r>
      <rPr>
        <b/>
        <sz val="10"/>
        <rFont val="Calibri"/>
        <family val="2"/>
        <scheme val="minor"/>
      </rPr>
      <t>[kg]</t>
    </r>
  </si>
  <si>
    <t>Ferric chloride (PIX-111)</t>
  </si>
  <si>
    <t>Ferric chloride 
(Plusjärn S 314)</t>
  </si>
  <si>
    <t>Ferric sulphate (PIX-113)</t>
  </si>
  <si>
    <t>Ferrous sulphate 
(e.g. Quickfloc)</t>
  </si>
  <si>
    <t>Ferric chloride sulphate 
(PIX-118)</t>
  </si>
  <si>
    <t>Aluminium ferric chloride 
(Ekomix 1091)</t>
  </si>
  <si>
    <t>Aluminium sulphate (ALG)</t>
  </si>
  <si>
    <t>PAC (Ekoflock 54)</t>
  </si>
  <si>
    <t>PAC (Ekoflock 70)</t>
  </si>
  <si>
    <t>PAC (Ekoflock 75)</t>
  </si>
  <si>
    <t>PAC (Ekoflock 90, 91, 92)</t>
  </si>
  <si>
    <t>PAC (Ekoflock 96)</t>
  </si>
  <si>
    <t>PAC (Pluspac S 1465)</t>
  </si>
  <si>
    <t>PAC (PAX-XL60)</t>
  </si>
  <si>
    <t>PAC (PAX-XL260)</t>
  </si>
  <si>
    <t>PAC (PAX-XL100)</t>
  </si>
  <si>
    <t>7. Coagulants</t>
  </si>
  <si>
    <t>Kemira (2024)</t>
  </si>
  <si>
    <t>Feralco (2024)</t>
  </si>
  <si>
    <t>INCOPA (2023)</t>
  </si>
  <si>
    <t>Hydrochloric acid (32 %)</t>
  </si>
  <si>
    <t>Produktionsmix av svavelsyra (96%) (INCOPA, 2023)</t>
  </si>
  <si>
    <t>Produktionsmix av saltsyra (32%) (INCOPA, 2023)</t>
  </si>
  <si>
    <t>[What year is the information in the tool based on?]</t>
  </si>
  <si>
    <r>
      <t>Intake of raw water
[m</t>
    </r>
    <r>
      <rPr>
        <b/>
        <vertAlign val="superscript"/>
        <sz val="11"/>
        <rFont val="Calibri"/>
        <family val="2"/>
        <scheme val="minor"/>
      </rPr>
      <t>3</t>
    </r>
    <r>
      <rPr>
        <b/>
        <sz val="11"/>
        <rFont val="Calibri"/>
        <family val="2"/>
        <scheme val="minor"/>
      </rPr>
      <t>/yr]</t>
    </r>
  </si>
  <si>
    <r>
      <t>Produced drinking water
[m</t>
    </r>
    <r>
      <rPr>
        <b/>
        <vertAlign val="superscript"/>
        <sz val="11"/>
        <rFont val="Calibri"/>
        <family val="2"/>
        <scheme val="minor"/>
      </rPr>
      <t>3</t>
    </r>
    <r>
      <rPr>
        <b/>
        <sz val="11"/>
        <rFont val="Calibri"/>
        <family val="2"/>
        <scheme val="minor"/>
      </rPr>
      <t>/yr]</t>
    </r>
  </si>
  <si>
    <r>
      <t>Consumed drinking water
[m</t>
    </r>
    <r>
      <rPr>
        <b/>
        <vertAlign val="superscript"/>
        <sz val="11"/>
        <rFont val="Calibri"/>
        <family val="2"/>
        <scheme val="minor"/>
      </rPr>
      <t>3</t>
    </r>
    <r>
      <rPr>
        <b/>
        <sz val="11"/>
        <rFont val="Calibri"/>
        <family val="2"/>
        <scheme val="minor"/>
      </rPr>
      <t>/yr]</t>
    </r>
  </si>
  <si>
    <r>
      <t>Amount of water treated during the year
[m</t>
    </r>
    <r>
      <rPr>
        <b/>
        <vertAlign val="superscript"/>
        <sz val="11"/>
        <rFont val="Calibri"/>
        <family val="2"/>
        <scheme val="minor"/>
      </rPr>
      <t>3</t>
    </r>
    <r>
      <rPr>
        <b/>
        <sz val="11"/>
        <rFont val="Calibri"/>
        <family val="2"/>
        <scheme val="minor"/>
      </rPr>
      <t>/yr]</t>
    </r>
  </si>
  <si>
    <t>Amount of nitrogen 
reduced during the year
[kg N-tot/yr]</t>
  </si>
  <si>
    <t>The load to the 
treatment plant 
[pe]</t>
  </si>
  <si>
    <t>Treatment of undigested sludge in other WWTP**</t>
  </si>
  <si>
    <r>
      <t>Digester and sludge treatment - methane (CH</t>
    </r>
    <r>
      <rPr>
        <b/>
        <vertAlign val="subscript"/>
        <sz val="11"/>
        <color theme="1"/>
        <rFont val="Calibri"/>
        <family val="2"/>
        <scheme val="minor"/>
      </rPr>
      <t>4</t>
    </r>
    <r>
      <rPr>
        <b/>
        <sz val="11"/>
        <color theme="1"/>
        <rFont val="Calibri"/>
        <family val="2"/>
        <scheme val="minor"/>
      </rPr>
      <t>)</t>
    </r>
  </si>
  <si>
    <t>Methane emissions from upgrading (in-house):</t>
  </si>
  <si>
    <t>Ener amount of raw biogas produced during the year, also add the methane content of the gas (volume-%). If you have your own measured value for methane slip from the digester and sludge treatment, enter it below.</t>
  </si>
  <si>
    <t xml:space="preserve">The user can fill in measured emissions of methane from the water phase (excluding emissions from the sludge line). The measurement should include methane from the biology as well as the inlet or the aerated grit chambers. 
If you do not have a measured value, an estimated emission factor is used. </t>
  </si>
  <si>
    <t xml:space="preserve">The user can fill in measured emissions of nitrous oxide from the biological treatment. 
If the plant does not measure nitrous oxide, an estimated emission factor is applied. 
Remember that the internal nitrogen load should be included in the incoming nitrogen load to the plant. </t>
  </si>
  <si>
    <t>In a previous version of the calculation tool nitrous oxide emissions were estimated based on the amount of reduced nitrogen in the biological treatment. 
In the field below</t>
  </si>
  <si>
    <t>Enter kg influent TN (per year):</t>
  </si>
  <si>
    <r>
      <t>kg TN</t>
    </r>
    <r>
      <rPr>
        <vertAlign val="subscript"/>
        <sz val="10"/>
        <color theme="1"/>
        <rFont val="Calibri"/>
        <family val="2"/>
        <scheme val="minor"/>
      </rPr>
      <t>influent</t>
    </r>
    <r>
      <rPr>
        <sz val="10"/>
        <color theme="1"/>
        <rFont val="Calibri"/>
        <family val="2"/>
        <scheme val="minor"/>
      </rPr>
      <t>/yr</t>
    </r>
  </si>
  <si>
    <t>Fill in the data in the first two fields to calculate the emissions from the recipient.</t>
  </si>
  <si>
    <t>Activated carbon, coconut based</t>
  </si>
  <si>
    <t>Sodium chloride</t>
  </si>
  <si>
    <t>Sodium hydroxide (50 %)</t>
  </si>
  <si>
    <t>Sodium hydroxide (25%)</t>
  </si>
  <si>
    <t>Sodium hypochlorite (13%)</t>
  </si>
  <si>
    <t>Sulphuric acid (36%)</t>
  </si>
  <si>
    <t>Carbon storage in soils fertilized with sludge</t>
  </si>
  <si>
    <t>Carbon stored in soils fertilized with sludge biochar</t>
  </si>
  <si>
    <t>Screenings, incineration</t>
  </si>
  <si>
    <t>Activated carbon, incineration</t>
  </si>
  <si>
    <t>Vattenfall (2025)</t>
  </si>
  <si>
    <t xml:space="preserve">Schablon. Uppskattningsvis väldigt låg. </t>
  </si>
  <si>
    <t xml:space="preserve">Modifierad data, förbränning av hushållsavfall exklusive plast. Resterande fraktioner till stor del organiskt och övrigt. </t>
  </si>
  <si>
    <t xml:space="preserve">Schablon. I brist på andra relevanta data eller litteratur. </t>
  </si>
  <si>
    <t>Energimyndigheten (2025)</t>
  </si>
  <si>
    <t>Methanol Institute (2022)</t>
  </si>
  <si>
    <t>Schablon</t>
  </si>
  <si>
    <t>CarbonCloud (2025)</t>
  </si>
  <si>
    <t>Aktivt kol, kokosbaserat (Vilén et al. 2022)</t>
  </si>
  <si>
    <t>Quicklime, European Lime Association (2024)</t>
  </si>
  <si>
    <t>Hydrated lime, European Lime Association (2024)</t>
  </si>
  <si>
    <t>GC Rieber (2022)</t>
  </si>
  <si>
    <t>Natriumhydroxid (50%), europeiskt medelvärde (Euro Chlor, 2022)</t>
  </si>
  <si>
    <t>Natriumhydroxid (25%), europeiskt medelvärde (Euro Chlor, 2022)</t>
  </si>
  <si>
    <t>Natriumhypoklorit (13%), europeiskt medelvärde (Euro Chlor, 2022)</t>
  </si>
  <si>
    <r>
      <t>Väteperoxid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</si>
  <si>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Produktionsmix av svavelsyra (36%) (INCOPA, 2023)</t>
  </si>
  <si>
    <t>Fossil fuel</t>
  </si>
  <si>
    <t>Carbon storage in sludge-biochar fertilized soils</t>
  </si>
  <si>
    <t>Sandgren &amp; Nilsson (2020)</t>
  </si>
  <si>
    <t>Energiföretagen (2024)</t>
  </si>
  <si>
    <t>Boldrin et al. (2009)</t>
  </si>
  <si>
    <t>Ammoniumnitrat, europeiskt medelvärde (Fertilizers Europe, 2011)</t>
  </si>
  <si>
    <t>Trippelsuperfosfat, europeiskt medelvärde (Fertilizers Europe, 2011)</t>
  </si>
  <si>
    <t>Faragó et al. (2022)</t>
  </si>
  <si>
    <t>Methane from digesters and sludge treatment</t>
  </si>
  <si>
    <t>Nitrous oxide from biological treatment (based on reduced TN)</t>
  </si>
  <si>
    <t>Nitrous oxide from biological treatment (based on influent TN)</t>
  </si>
  <si>
    <t>de Haas &amp; Andrews (2022)</t>
  </si>
  <si>
    <t>Calorific value screenings</t>
  </si>
  <si>
    <t>kg CH4/kg influent COD</t>
  </si>
  <si>
    <t>kg N2O/kg N influent</t>
  </si>
  <si>
    <t>kg N2O/kg N reduced</t>
  </si>
  <si>
    <t>kg CH4/ton TS sludge</t>
  </si>
  <si>
    <t>kg CH4/kg effluent BOD</t>
  </si>
  <si>
    <t>kg N2O/kg N in effluent</t>
  </si>
  <si>
    <t>Methane (biogenic origin)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</si>
  <si>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treated water</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</si>
  <si>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raw water intake</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</si>
  <si>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produced drinking water</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</si>
  <si>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consumed drinking water</t>
    </r>
  </si>
  <si>
    <t>Natural gas
(also city gas and LPG)</t>
  </si>
  <si>
    <t>Enter information about residual products that is generated by the plant concerned. The weights of the residual products shall include water or moisture (i.e., not only the DM content).
Not all green fields need to be filled in. The information entered must be on an annual basis.
The transports reported in this category are purchased by the organisation ie. carried out by a logistics company. The climate impact of the company's own cars is reported higher up in this tab.
Enter information about the transport distance from the plant to the place of disposal and the fuel used during the transport. If you do not know which fuel is used, select diesel from the drop-down list.</t>
  </si>
  <si>
    <t>The user fills in the amount of sludge (wet weight) stored at least two months before the sludge is disposed of. If the plant does not have its own sludge treatment, the green fields are left blank.</t>
  </si>
  <si>
    <t>Versionshistorik</t>
  </si>
  <si>
    <t>Version 4 (2025)</t>
  </si>
  <si>
    <t>Version 3 (2024)</t>
  </si>
  <si>
    <t>Version 2 (2023)</t>
  </si>
  <si>
    <t>Version history</t>
  </si>
  <si>
    <t>Nitrous oxide emissions from the biology is based on influent nitrogen (previously reduced nitrogen)</t>
  </si>
  <si>
    <t xml:space="preserve">Updated emission factors: </t>
  </si>
  <si>
    <t>The residual grid mix</t>
  </si>
  <si>
    <t>Electricity from wind power</t>
  </si>
  <si>
    <t>Fossil methanol</t>
  </si>
  <si>
    <t>Chemicals, added new concentrations</t>
  </si>
  <si>
    <t>The climate benefit from carbon storage in sludge is changed to 5% (previously 35%)</t>
  </si>
  <si>
    <t>Peat, avoided emissions from production during sludge composting</t>
  </si>
  <si>
    <t>Pyrolysis is included as a sludge treatment option in the tool</t>
  </si>
  <si>
    <t>The climate benefit of carbon storage in sludge biochar is included</t>
  </si>
  <si>
    <t>Added a new key figure and made clarifications regarding the key figures for drinking water plants</t>
  </si>
  <si>
    <t>The graphs in the result presentation sheets have been unprotected, possible to change e.g. font size</t>
  </si>
  <si>
    <t>Inorganic coagulants</t>
  </si>
  <si>
    <t>Transports using fossil free fuel (new EF for tonne*km)</t>
  </si>
  <si>
    <t>Methane slip from digesters, sludge treatment and upgrading of biogas</t>
  </si>
  <si>
    <t>Heat supply and electricity</t>
  </si>
  <si>
    <t>Reactivated carbon</t>
  </si>
  <si>
    <t>Added electricity from nuclear as an alternative</t>
  </si>
  <si>
    <t>Corrected minor calculation errors for climate benefits from incineration of sludge and screenings</t>
  </si>
  <si>
    <t>The climate benefit from biogas production is equal to a fossil component as calculated according to HBK in RED2</t>
  </si>
  <si>
    <t>Characterisation factors for methane and nitrous oxide are based on IPCC AR6</t>
  </si>
  <si>
    <t>Removed a higher, alternative, emission factor for nitrous oxide emissions from a hypoxic recipient since it was unclear how and when it should be used</t>
  </si>
  <si>
    <t>Clarified that it is amount of consumed chemicals which should be added as input data, not amounts purchased</t>
  </si>
  <si>
    <t>Methane emissions from sludge treatment at the plant is included (beyond emissions from digesters)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</si>
</sst>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3"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vertAlign val="superscript"/>
      <sz val="11"/>
      <color theme="1"/>
      <name val="Calibri"/>
      <family val="2"/>
      <scheme val="minor"/>
    </font>
    <font>
      <b/>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70">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3"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1" fillId="0" borderId="0" xfId="0" applyNumberFormat="1" applyFont="1" applyAlignment="1">
      <alignment horizontal="left"/>
    </xf>
    <xf numFmtId="0" fontId="42" fillId="0" borderId="0" xfId="0" applyFont="1" applyAlignment="1">
      <alignment wrapText="1"/>
    </xf>
    <xf numFmtId="0" fontId="42" fillId="0" borderId="0" xfId="0" applyFont="1"/>
    <xf numFmtId="0" fontId="42" fillId="0" borderId="0" xfId="0" applyFont="1" applyAlignment="1">
      <alignment horizontal="left" wrapText="1"/>
    </xf>
    <xf numFmtId="164" fontId="41"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4"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2" fontId="0" fillId="0" borderId="1" xfId="0" applyNumberFormat="1" applyBorder="1" applyAlignment="1">
      <alignment horizontal="center" vertical="center" wrapText="1"/>
    </xf>
    <xf numFmtId="9" fontId="11" fillId="0" borderId="1" xfId="1" applyFont="1" applyBorder="1" applyAlignment="1">
      <alignment horizontal="center"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49"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167" fontId="0" fillId="0" borderId="1" xfId="0" applyNumberFormat="1" applyBorder="1" applyAlignment="1">
      <alignment horizontal="center" vertical="center"/>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3" fontId="23" fillId="0" borderId="1" xfId="0" applyNumberFormat="1" applyFont="1" applyBorder="1" applyAlignment="1">
      <alignment horizontal="center" vertical="center"/>
    </xf>
    <xf numFmtId="166"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4" fillId="0" borderId="0" xfId="0" applyFont="1" applyBorder="1" applyAlignment="1">
      <alignment horizontal="center" vertical="center" wrapText="1"/>
    </xf>
    <xf numFmtId="3" fontId="0" fillId="0" borderId="0" xfId="0" applyNumberFormat="1" applyBorder="1" applyAlignment="1">
      <alignment horizontal="center" vertical="center"/>
    </xf>
    <xf numFmtId="0" fontId="36" fillId="0" borderId="0"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3" fontId="24" fillId="0" borderId="0" xfId="0" applyNumberFormat="1" applyFont="1" applyAlignment="1">
      <alignment horizontal="center" vertical="center" wrapText="1"/>
    </xf>
    <xf numFmtId="3" fontId="0" fillId="0" borderId="0" xfId="0" applyNumberFormat="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center" vertical="center" wrapText="1"/>
    </xf>
    <xf numFmtId="0" fontId="0" fillId="0" borderId="0" xfId="0" applyBorder="1"/>
    <xf numFmtId="0" fontId="0" fillId="0" borderId="0" xfId="0" applyBorder="1" applyAlignment="1">
      <alignment vertical="center"/>
    </xf>
    <xf numFmtId="0" fontId="0" fillId="0" borderId="0" xfId="0" applyBorder="1" applyAlignment="1">
      <alignment horizontal="center" vertical="top" wrapText="1"/>
    </xf>
    <xf numFmtId="0" fontId="11" fillId="0" borderId="0" xfId="0" applyFont="1" applyBorder="1" applyAlignment="1">
      <alignment horizontal="center" vertical="center" wrapText="1"/>
    </xf>
    <xf numFmtId="3" fontId="12" fillId="0" borderId="0" xfId="0" applyNumberFormat="1" applyFont="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51" fillId="0" borderId="2" xfId="0" applyFont="1" applyBorder="1" applyAlignment="1">
      <alignment horizontal="center" vertical="center"/>
    </xf>
    <xf numFmtId="0" fontId="52" fillId="0" borderId="0" xfId="0" applyFont="1"/>
    <xf numFmtId="0" fontId="0" fillId="0" borderId="0" xfId="0" applyFill="1" applyAlignment="1">
      <alignment wrapText="1"/>
    </xf>
    <xf numFmtId="0" fontId="0" fillId="0" borderId="0" xfId="0" applyFill="1"/>
    <xf numFmtId="0" fontId="5" fillId="0" borderId="0" xfId="0" applyFont="1" applyAlignment="1">
      <alignment horizontal="center" vertical="center" wrapText="1"/>
    </xf>
    <xf numFmtId="0" fontId="5" fillId="0" borderId="0" xfId="0" applyFont="1" applyAlignment="1">
      <alignment horizontal="center" vertical="center"/>
    </xf>
    <xf numFmtId="0" fontId="43"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1" fillId="0" borderId="2" xfId="0" applyFont="1" applyBorder="1" applyAlignment="1">
      <alignment horizontal="center" vertical="center"/>
    </xf>
    <xf numFmtId="164" fontId="12" fillId="0" borderId="0" xfId="1" applyNumberFormat="1" applyFont="1" applyFill="1" applyBorder="1" applyAlignment="1">
      <alignment horizontal="center"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3" fontId="23" fillId="0" borderId="3" xfId="0" applyNumberFormat="1"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0" fontId="0" fillId="0" borderId="3" xfId="0" applyBorder="1" applyAlignment="1">
      <alignment horizontal="center" vertical="top" wrapText="1"/>
    </xf>
    <xf numFmtId="0" fontId="11" fillId="0" borderId="3" xfId="0" applyFont="1" applyBorder="1" applyAlignment="1">
      <alignment horizontal="center" vertical="center" wrapText="1"/>
    </xf>
    <xf numFmtId="0" fontId="30" fillId="0" borderId="2" xfId="0" applyFont="1" applyBorder="1" applyAlignment="1">
      <alignment horizontal="center" vertical="center"/>
    </xf>
    <xf numFmtId="0" fontId="0" fillId="0" borderId="0" xfId="0" applyBorder="1" applyAlignment="1">
      <alignment horizontal="center" vertical="center" wrapText="1"/>
    </xf>
    <xf numFmtId="0" fontId="22" fillId="0" borderId="2" xfId="0" applyFont="1" applyBorder="1" applyAlignment="1">
      <alignment horizontal="center" vertical="center"/>
    </xf>
    <xf numFmtId="3" fontId="12" fillId="0" borderId="3" xfId="0" applyNumberFormat="1" applyFont="1" applyBorder="1" applyAlignment="1">
      <alignment horizontal="center" vertical="top" wrapText="1"/>
    </xf>
    <xf numFmtId="0" fontId="12" fillId="0" borderId="3" xfId="0" applyFont="1" applyBorder="1" applyAlignment="1">
      <alignment horizontal="center" vertical="center" wrapText="1"/>
    </xf>
    <xf numFmtId="0" fontId="0" fillId="0" borderId="3" xfId="0" applyFont="1" applyBorder="1" applyAlignment="1">
      <alignment horizontal="center"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3" xfId="0" applyBorder="1" applyAlignment="1">
      <alignment horizontal="center" vertical="center" wrapText="1"/>
    </xf>
    <xf numFmtId="0" fontId="19" fillId="0" borderId="0" xfId="0" applyFont="1" applyAlignment="1">
      <alignment horizontal="left" vertical="center" wrapText="1"/>
    </xf>
    <xf numFmtId="3" fontId="0" fillId="0" borderId="0" xfId="0" applyNumberFormat="1" applyAlignment="1">
      <alignment horizontal="center" vertical="center" wrapText="1"/>
    </xf>
    <xf numFmtId="3" fontId="37" fillId="0" borderId="0" xfId="0" applyNumberFormat="1" applyFont="1" applyAlignment="1">
      <alignment horizontal="center" vertical="center" wrapText="1"/>
    </xf>
    <xf numFmtId="0" fontId="23" fillId="0" borderId="3" xfId="0" applyFont="1" applyBorder="1" applyAlignment="1">
      <alignment horizontal="center" vertical="center"/>
    </xf>
    <xf numFmtId="0" fontId="23" fillId="0" borderId="0" xfId="0" applyFont="1" applyAlignment="1">
      <alignment horizontal="center" vertical="center"/>
    </xf>
    <xf numFmtId="0" fontId="19" fillId="0" borderId="3" xfId="0" applyFont="1" applyBorder="1" applyAlignment="1">
      <alignment horizontal="left" vertical="top" wrapText="1"/>
    </xf>
    <xf numFmtId="0" fontId="15" fillId="0" borderId="0" xfId="0" applyFont="1" applyAlignment="1">
      <alignment horizontal="left" vertical="top" wrapText="1"/>
    </xf>
    <xf numFmtId="0" fontId="22" fillId="0" borderId="2" xfId="0" applyFont="1" applyBorder="1" applyAlignment="1">
      <alignment horizontal="center" vertical="center" wrapText="1"/>
    </xf>
    <xf numFmtId="0" fontId="19" fillId="0" borderId="3" xfId="0" applyFont="1" applyBorder="1" applyAlignment="1">
      <alignment horizontal="left" vertical="center" wrapText="1"/>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5" fillId="0" borderId="3" xfId="0" applyFont="1" applyBorder="1" applyAlignment="1">
      <alignment horizontal="left" vertical="top" wrapText="1"/>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2" xfId="0" applyFont="1" applyBorder="1" applyAlignment="1">
      <alignment horizontal="center" vertical="center"/>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3" fontId="26" fillId="0" borderId="2" xfId="0" applyNumberFormat="1" applyFont="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8"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Annual climate impact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'Results presentation in table'!$B$13:$J$13</c:f>
              <c:strCache>
                <c:ptCount val="9"/>
                <c:pt idx="0">
                  <c:v>Direct emissions from company-owned cars, reserve power and heat</c:v>
                </c:pt>
                <c:pt idx="1">
                  <c:v>Direct emissions of N2O</c:v>
                </c:pt>
                <c:pt idx="2">
                  <c:v>Direct emissions of CH4</c:v>
                </c:pt>
                <c:pt idx="3">
                  <c:v>Direct emissions of CO2 from respiration of carbon source</c:v>
                </c:pt>
                <c:pt idx="4">
                  <c:v>Electricity, heating and district cooling consumption</c:v>
                </c:pt>
                <c:pt idx="5">
                  <c:v>Indirect emissions from company-owned cars and reserve power </c:v>
                </c:pt>
                <c:pt idx="6">
                  <c:v>Indirect emissions from the production of chemicals</c:v>
                </c:pt>
                <c:pt idx="7">
                  <c:v>Purchased transport, by logistics companies</c:v>
                </c:pt>
                <c:pt idx="8">
                  <c:v>Emissions from residual products</c:v>
                </c:pt>
              </c:strCache>
            </c:strRef>
          </c:cat>
          <c:val>
            <c:numRef>
              <c:f>'Results presentation in table'!$B$14:$J$14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3194517351997668E-2"/>
              <c:y val="0.455021872758788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b="0" i="0" baseline="0">
                <a:effectLst/>
              </a:rPr>
              <a:t>Annual climate impact</a:t>
            </a:r>
            <a:endParaRPr lang="sv-SE"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cat>
            <c:strRef>
              <c:f>'Graf - Nyttor'!$B$4:$B$10</c:f>
              <c:strCache>
                <c:ptCount val="7"/>
                <c:pt idx="0">
                  <c:v>Scope 1</c:v>
                </c:pt>
                <c:pt idx="1">
                  <c:v>Scope 2</c:v>
                </c:pt>
                <c:pt idx="2">
                  <c:v>Scope 3</c:v>
                </c:pt>
                <c:pt idx="3">
                  <c:v>Fuels</c:v>
                </c:pt>
                <c:pt idx="4">
                  <c:v>Electricity and heat</c:v>
                </c:pt>
                <c:pt idx="5">
                  <c:v>Sludge from wastewater treatment plants</c:v>
                </c:pt>
                <c:pt idx="6">
                  <c:v>Lime granules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046369203849519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468351"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3133" y="352425"/>
          <a:ext cx="1468351"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Green</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31674"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31674"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Green</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a:p>
          <a:r>
            <a:rPr lang="sv-SE" sz="1400" b="1">
              <a:solidFill>
                <a:schemeClr val="bg1">
                  <a:lumMod val="50000"/>
                </a:schemeClr>
              </a:solidFill>
            </a:rPr>
            <a:t>Stripe</a:t>
          </a:r>
          <a:r>
            <a:rPr lang="sv-SE" sz="1400"/>
            <a:t> = Potential benefits</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2</xdr:col>
      <xdr:colOff>723601</xdr:colOff>
      <xdr:row>4</xdr:row>
      <xdr:rowOff>71862</xdr:rowOff>
    </xdr:to>
    <xdr:pic>
      <xdr:nvPicPr>
        <xdr:cNvPr id="2" name="Picture 1">
          <a:extLst>
            <a:ext uri="{FF2B5EF4-FFF2-40B4-BE49-F238E27FC236}">
              <a16:creationId xmlns:a16="http://schemas.microsoft.com/office/drawing/2014/main" id="{F65B881E-99E7-44E4-97BE-1D80F05ECD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1906" y="0"/>
          <a:ext cx="1930895" cy="8338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tabSelected="1" zoomScale="90" zoomScaleNormal="90" workbookViewId="0">
      <selection activeCell="C7" sqref="C7:I7"/>
    </sheetView>
  </sheetViews>
  <sheetFormatPr defaultColWidth="0" defaultRowHeight="0" customHeight="1" zeroHeight="1" x14ac:dyDescent="0.25"/>
  <cols>
    <col min="1" max="1" width="8.7109375" customWidth="1"/>
    <col min="2" max="10" width="25.7109375" customWidth="1"/>
    <col min="11" max="11" width="8.7109375" customWidth="1"/>
    <col min="12" max="16384" width="8.7109375" hidden="1"/>
  </cols>
  <sheetData>
    <row r="1" spans="2:10" ht="15" x14ac:dyDescent="0.25"/>
    <row r="2" spans="2:10" ht="15" x14ac:dyDescent="0.25">
      <c r="B2" s="22"/>
      <c r="C2" s="21"/>
    </row>
    <row r="3" spans="2:10" ht="15" x14ac:dyDescent="0.25">
      <c r="B3" s="20"/>
      <c r="C3" s="19"/>
    </row>
    <row r="4" spans="2:10" ht="15" x14ac:dyDescent="0.25">
      <c r="B4" s="20"/>
      <c r="C4" s="19"/>
    </row>
    <row r="5" spans="2:10" ht="15" x14ac:dyDescent="0.25"/>
    <row r="6" spans="2:10" ht="30" customHeight="1" x14ac:dyDescent="0.25">
      <c r="B6" s="18"/>
      <c r="C6" s="17"/>
      <c r="D6" s="17"/>
      <c r="E6" s="17"/>
      <c r="F6" s="6"/>
      <c r="G6" s="6"/>
      <c r="H6" s="5"/>
      <c r="I6" s="5"/>
      <c r="J6" s="5"/>
    </row>
    <row r="7" spans="2:10" ht="30" customHeight="1" x14ac:dyDescent="0.25">
      <c r="B7" s="4"/>
      <c r="C7" s="257" t="s">
        <v>374</v>
      </c>
      <c r="D7" s="257"/>
      <c r="E7" s="257"/>
      <c r="F7" s="257"/>
      <c r="G7" s="257"/>
      <c r="H7" s="257"/>
      <c r="I7" s="257"/>
      <c r="J7" s="16"/>
    </row>
    <row r="8" spans="2:10" ht="30" customHeight="1" x14ac:dyDescent="0.25">
      <c r="B8" s="4"/>
      <c r="C8" s="258" t="s">
        <v>91</v>
      </c>
      <c r="D8" s="258"/>
      <c r="E8" s="258"/>
      <c r="F8" s="258"/>
      <c r="G8" s="258"/>
      <c r="H8" s="258"/>
      <c r="I8" s="258"/>
      <c r="J8" s="15"/>
    </row>
    <row r="9" spans="2:10" ht="30" customHeight="1" x14ac:dyDescent="0.25">
      <c r="B9" s="4"/>
      <c r="C9" s="258"/>
      <c r="D9" s="258"/>
      <c r="E9" s="258"/>
      <c r="F9" s="258"/>
      <c r="G9" s="258"/>
      <c r="H9" s="258"/>
      <c r="I9" s="258"/>
      <c r="J9" s="15"/>
    </row>
    <row r="10" spans="2:10" ht="30" customHeight="1" x14ac:dyDescent="0.25">
      <c r="B10" s="4"/>
      <c r="C10" s="4"/>
      <c r="D10" s="4"/>
      <c r="E10" s="4"/>
      <c r="F10" s="15"/>
      <c r="G10" s="120" t="s">
        <v>83</v>
      </c>
      <c r="H10" s="15"/>
      <c r="I10" s="15"/>
      <c r="J10" s="15"/>
    </row>
    <row r="11" spans="2:10" ht="30" customHeight="1" x14ac:dyDescent="0.25">
      <c r="B11" s="4"/>
      <c r="C11" s="271" t="s">
        <v>378</v>
      </c>
      <c r="D11" s="271"/>
      <c r="E11" s="271"/>
      <c r="F11" s="271"/>
      <c r="G11" s="259" t="s">
        <v>84</v>
      </c>
      <c r="H11" s="259"/>
      <c r="I11" s="259"/>
      <c r="J11" s="119"/>
    </row>
    <row r="12" spans="2:10" ht="30" customHeight="1" x14ac:dyDescent="0.25">
      <c r="B12" s="4"/>
      <c r="C12" s="271"/>
      <c r="D12" s="271"/>
      <c r="E12" s="271"/>
      <c r="F12" s="271"/>
      <c r="G12" s="122" t="s">
        <v>85</v>
      </c>
      <c r="J12" s="119"/>
    </row>
    <row r="13" spans="2:10" ht="30" customHeight="1" x14ac:dyDescent="0.25">
      <c r="B13" s="4"/>
      <c r="C13" s="271"/>
      <c r="D13" s="271"/>
      <c r="E13" s="271"/>
      <c r="F13" s="271"/>
      <c r="G13" s="270" t="s">
        <v>334</v>
      </c>
      <c r="H13" s="270"/>
      <c r="I13" s="270"/>
      <c r="J13" s="15"/>
    </row>
    <row r="14" spans="2:10" ht="30" customHeight="1" x14ac:dyDescent="0.25">
      <c r="B14" s="4"/>
      <c r="D14" s="125"/>
      <c r="E14" s="125"/>
      <c r="F14" s="125"/>
      <c r="G14" s="121" t="s">
        <v>86</v>
      </c>
      <c r="H14" s="119"/>
      <c r="I14" s="119"/>
      <c r="J14" s="119"/>
    </row>
    <row r="15" spans="2:10" ht="30" customHeight="1" x14ac:dyDescent="0.25">
      <c r="B15" s="4"/>
      <c r="C15" s="271" t="s">
        <v>92</v>
      </c>
      <c r="D15" s="271"/>
      <c r="E15" s="271"/>
      <c r="F15" s="271"/>
      <c r="G15" s="260" t="s">
        <v>87</v>
      </c>
      <c r="H15" s="260"/>
      <c r="I15" s="260"/>
      <c r="J15" s="119"/>
    </row>
    <row r="16" spans="2:10" ht="30" customHeight="1" x14ac:dyDescent="0.25">
      <c r="B16" s="4"/>
      <c r="C16" s="271"/>
      <c r="D16" s="271"/>
      <c r="E16" s="271"/>
      <c r="F16" s="271"/>
      <c r="G16" s="122" t="s">
        <v>376</v>
      </c>
      <c r="H16" s="119"/>
      <c r="I16" s="119"/>
      <c r="J16" s="11"/>
    </row>
    <row r="17" spans="2:10" ht="30" customHeight="1" x14ac:dyDescent="0.25">
      <c r="B17" s="4"/>
      <c r="C17" s="271"/>
      <c r="D17" s="271"/>
      <c r="E17" s="271"/>
      <c r="F17" s="271"/>
      <c r="G17" s="261" t="s">
        <v>377</v>
      </c>
      <c r="H17" s="262"/>
      <c r="I17" s="263"/>
      <c r="J17" s="119"/>
    </row>
    <row r="18" spans="2:10" ht="30" customHeight="1" x14ac:dyDescent="0.25">
      <c r="B18" s="4"/>
      <c r="C18" s="9"/>
      <c r="D18" s="4"/>
      <c r="E18" s="4"/>
      <c r="F18" s="11"/>
      <c r="G18" s="123" t="s">
        <v>88</v>
      </c>
      <c r="H18" s="11"/>
      <c r="I18" s="11"/>
      <c r="J18" s="119"/>
    </row>
    <row r="19" spans="2:10" ht="30" customHeight="1" x14ac:dyDescent="0.25">
      <c r="B19" s="4"/>
      <c r="C19" s="271" t="s">
        <v>333</v>
      </c>
      <c r="D19" s="271"/>
      <c r="E19" s="271"/>
      <c r="F19" s="271"/>
      <c r="G19" s="264" t="s">
        <v>89</v>
      </c>
      <c r="H19" s="265"/>
      <c r="I19" s="266"/>
      <c r="J19" s="7"/>
    </row>
    <row r="20" spans="2:10" ht="30" customHeight="1" x14ac:dyDescent="0.25">
      <c r="B20" s="10"/>
      <c r="C20" s="271"/>
      <c r="D20" s="271"/>
      <c r="E20" s="271"/>
      <c r="F20" s="271"/>
      <c r="G20" s="124" t="s">
        <v>90</v>
      </c>
      <c r="H20" s="119"/>
      <c r="I20" s="119"/>
      <c r="J20" s="7"/>
    </row>
    <row r="21" spans="2:10" ht="30" customHeight="1" x14ac:dyDescent="0.25">
      <c r="B21" s="10"/>
      <c r="C21" s="271"/>
      <c r="D21" s="271"/>
      <c r="E21" s="271"/>
      <c r="F21" s="271"/>
      <c r="G21" s="267" t="s">
        <v>460</v>
      </c>
      <c r="H21" s="268"/>
      <c r="I21" s="269"/>
      <c r="J21" s="7"/>
    </row>
    <row r="22" spans="2:10" ht="30" customHeight="1" x14ac:dyDescent="0.25">
      <c r="B22" s="10"/>
      <c r="C22" s="14"/>
      <c r="D22" s="13"/>
      <c r="E22" s="13"/>
      <c r="F22" s="12"/>
      <c r="G22" s="12"/>
      <c r="H22" s="12"/>
      <c r="I22" s="12"/>
      <c r="J22" s="12"/>
    </row>
    <row r="23" spans="2:10" ht="30" customHeight="1" x14ac:dyDescent="0.25">
      <c r="B23" s="10"/>
      <c r="C23" s="9"/>
      <c r="D23" s="4"/>
      <c r="E23" s="4"/>
      <c r="F23" s="8"/>
      <c r="G23" s="8"/>
      <c r="H23" s="8"/>
      <c r="I23" s="8"/>
      <c r="J23" s="7"/>
    </row>
    <row r="24" spans="2:10" ht="30" customHeight="1" x14ac:dyDescent="0.25">
      <c r="B24" s="10"/>
      <c r="C24" s="9"/>
      <c r="D24" s="4"/>
      <c r="E24" s="4"/>
      <c r="F24" s="8"/>
      <c r="G24" s="8"/>
      <c r="H24" s="8"/>
      <c r="I24" s="8"/>
      <c r="J24" s="7"/>
    </row>
    <row r="25" spans="2:10" ht="30" customHeight="1" x14ac:dyDescent="0.25">
      <c r="B25" s="256"/>
      <c r="C25" s="256"/>
      <c r="D25" s="256"/>
      <c r="E25" s="3"/>
      <c r="F25" s="2"/>
      <c r="G25" s="2"/>
      <c r="H25" s="2"/>
      <c r="I25" s="2"/>
      <c r="J25" s="1"/>
    </row>
    <row r="26" spans="2:10" ht="30" customHeight="1" x14ac:dyDescent="0.25">
      <c r="B26" s="255"/>
      <c r="C26" s="255"/>
      <c r="D26" s="255"/>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25"/>
  <cols>
    <col min="1" max="1" width="8.7109375" customWidth="1"/>
    <col min="2" max="13" width="25.7109375" customWidth="1"/>
    <col min="14" max="14" width="8.7109375" customWidth="1"/>
    <col min="15" max="16" width="0" hidden="1" customWidth="1"/>
    <col min="17" max="16384" width="8.7109375" hidden="1"/>
  </cols>
  <sheetData>
    <row r="1" spans="1:13" ht="15" hidden="1" x14ac:dyDescent="0.25"/>
    <row r="2" spans="1:13" ht="33" customHeight="1" x14ac:dyDescent="0.25">
      <c r="C2" s="24"/>
    </row>
    <row r="3" spans="1:13" ht="33" customHeight="1" x14ac:dyDescent="0.25">
      <c r="B3" s="272" t="s">
        <v>0</v>
      </c>
      <c r="C3" s="273"/>
      <c r="D3" s="273"/>
      <c r="E3" s="273"/>
      <c r="F3" s="273"/>
      <c r="G3" s="273"/>
      <c r="H3" s="273"/>
      <c r="I3" s="273"/>
      <c r="J3" s="273"/>
      <c r="K3" s="273"/>
      <c r="L3" s="273"/>
      <c r="M3" s="273"/>
    </row>
    <row r="4" spans="1:13" ht="33" customHeight="1" x14ac:dyDescent="0.25">
      <c r="B4" s="274" t="s">
        <v>1</v>
      </c>
      <c r="C4" s="274"/>
      <c r="D4" s="274"/>
      <c r="E4" s="274"/>
      <c r="F4" s="274"/>
      <c r="G4" s="274"/>
      <c r="H4" s="274"/>
      <c r="I4" s="274"/>
      <c r="J4" s="274"/>
      <c r="K4" s="274"/>
      <c r="L4" s="274"/>
      <c r="M4" s="274"/>
    </row>
    <row r="5" spans="1:13" ht="33" customHeight="1" x14ac:dyDescent="0.25"/>
    <row r="6" spans="1:13" ht="33" customHeight="1" x14ac:dyDescent="0.25">
      <c r="A6" s="23"/>
      <c r="B6" s="278" t="s">
        <v>2</v>
      </c>
      <c r="C6" s="278"/>
      <c r="D6" s="278"/>
      <c r="E6" s="59"/>
      <c r="F6" s="278" t="s">
        <v>3</v>
      </c>
      <c r="G6" s="278"/>
      <c r="H6" s="278"/>
      <c r="I6" s="59"/>
      <c r="J6" s="278" t="s">
        <v>4</v>
      </c>
      <c r="K6" s="278"/>
      <c r="L6" s="278"/>
      <c r="M6" s="59"/>
    </row>
    <row r="7" spans="1:13" ht="30" customHeight="1" x14ac:dyDescent="0.25">
      <c r="B7" s="275" t="s">
        <v>5</v>
      </c>
      <c r="C7" s="275"/>
      <c r="D7" s="275"/>
      <c r="E7" s="53"/>
      <c r="F7" s="275" t="s">
        <v>6</v>
      </c>
      <c r="G7" s="275"/>
      <c r="H7" s="275"/>
      <c r="I7" s="53"/>
      <c r="J7" s="275" t="s">
        <v>7</v>
      </c>
      <c r="K7" s="275"/>
      <c r="L7" s="275"/>
      <c r="M7" s="53"/>
    </row>
    <row r="8" spans="1:13" ht="30" customHeight="1" x14ac:dyDescent="0.25">
      <c r="B8" s="277"/>
      <c r="C8" s="277"/>
      <c r="D8" s="277"/>
      <c r="F8" s="277"/>
      <c r="G8" s="277"/>
      <c r="H8" s="277"/>
      <c r="J8" s="276"/>
      <c r="K8" s="276"/>
      <c r="L8" s="276"/>
      <c r="M8" s="27"/>
    </row>
    <row r="9" spans="1:13" ht="30" customHeight="1" x14ac:dyDescent="0.25">
      <c r="B9" s="54" t="s">
        <v>8</v>
      </c>
      <c r="C9" s="55" t="s">
        <v>9</v>
      </c>
      <c r="D9" s="55" t="s">
        <v>10</v>
      </c>
      <c r="E9" s="25"/>
      <c r="F9" s="54" t="s">
        <v>11</v>
      </c>
      <c r="G9" s="55" t="s">
        <v>12</v>
      </c>
      <c r="H9" s="55" t="s">
        <v>13</v>
      </c>
      <c r="I9" s="27"/>
      <c r="J9" s="54" t="s">
        <v>14</v>
      </c>
      <c r="K9" s="55" t="s">
        <v>15</v>
      </c>
      <c r="L9" s="55" t="s">
        <v>16</v>
      </c>
      <c r="M9" s="28"/>
    </row>
    <row r="10" spans="1:13" ht="30" customHeight="1" x14ac:dyDescent="0.25">
      <c r="B10" s="56" t="s">
        <v>17</v>
      </c>
      <c r="C10" s="56">
        <v>2.8719999999999999</v>
      </c>
      <c r="D10" s="57"/>
      <c r="E10" s="25"/>
      <c r="F10" s="56" t="s">
        <v>18</v>
      </c>
      <c r="G10" s="60"/>
      <c r="H10" s="61"/>
      <c r="I10" s="28"/>
      <c r="J10" s="56" t="s">
        <v>19</v>
      </c>
      <c r="K10" s="60"/>
      <c r="L10" s="61"/>
      <c r="M10" s="28"/>
    </row>
    <row r="11" spans="1:13" ht="30" customHeight="1" x14ac:dyDescent="0.25">
      <c r="B11" s="56" t="s">
        <v>20</v>
      </c>
      <c r="C11" s="56">
        <v>2.7080000000000002</v>
      </c>
      <c r="D11" s="57"/>
      <c r="E11" s="25"/>
      <c r="F11" s="56" t="s">
        <v>21</v>
      </c>
      <c r="G11" s="60"/>
      <c r="H11" s="61"/>
      <c r="I11" s="28"/>
      <c r="J11" s="58" t="s">
        <v>22</v>
      </c>
      <c r="K11" s="60"/>
      <c r="L11" s="61"/>
      <c r="M11" s="28"/>
    </row>
    <row r="12" spans="1:13" ht="30" customHeight="1" x14ac:dyDescent="0.25">
      <c r="B12" s="56" t="s">
        <v>23</v>
      </c>
      <c r="C12" s="56">
        <v>3.395</v>
      </c>
      <c r="D12" s="57"/>
      <c r="E12" s="25"/>
      <c r="F12" s="56" t="s">
        <v>24</v>
      </c>
      <c r="G12" s="60"/>
      <c r="H12" s="61"/>
      <c r="I12" s="28"/>
      <c r="J12" s="56" t="s">
        <v>25</v>
      </c>
      <c r="K12" s="60"/>
      <c r="L12" s="61"/>
      <c r="M12" s="28"/>
    </row>
    <row r="13" spans="1:13" ht="30" customHeight="1" x14ac:dyDescent="0.25">
      <c r="B13" s="56" t="s">
        <v>26</v>
      </c>
      <c r="C13" s="56">
        <v>1.127</v>
      </c>
      <c r="D13" s="57"/>
      <c r="E13" s="25"/>
      <c r="F13" s="56" t="s">
        <v>27</v>
      </c>
      <c r="G13" s="60"/>
      <c r="H13" s="61"/>
      <c r="I13" s="28"/>
      <c r="J13" s="56" t="s">
        <v>28</v>
      </c>
      <c r="K13" s="60"/>
      <c r="L13" s="61"/>
      <c r="M13" s="28"/>
    </row>
    <row r="14" spans="1:13" ht="30" customHeight="1" x14ac:dyDescent="0.25">
      <c r="B14" s="56" t="s">
        <v>29</v>
      </c>
      <c r="C14" s="58">
        <v>0.52</v>
      </c>
      <c r="D14" s="57"/>
      <c r="E14" s="25"/>
      <c r="F14" s="56" t="s">
        <v>30</v>
      </c>
      <c r="G14" s="60"/>
      <c r="H14" s="61"/>
      <c r="I14" s="28"/>
      <c r="J14" s="67"/>
      <c r="K14" s="60"/>
      <c r="L14" s="61"/>
      <c r="M14" s="28"/>
    </row>
    <row r="15" spans="1:13" ht="30" customHeight="1" x14ac:dyDescent="0.25">
      <c r="B15" s="56" t="s">
        <v>31</v>
      </c>
      <c r="C15" s="58">
        <v>1.079</v>
      </c>
      <c r="D15" s="57"/>
      <c r="E15" s="25"/>
      <c r="F15" s="28"/>
      <c r="G15" s="28"/>
      <c r="H15" s="28"/>
      <c r="I15" s="28"/>
      <c r="J15" s="290" t="s">
        <v>32</v>
      </c>
      <c r="K15" s="290"/>
      <c r="L15" s="290"/>
      <c r="M15" s="28"/>
    </row>
    <row r="16" spans="1:13" ht="30" customHeight="1" x14ac:dyDescent="0.25">
      <c r="B16" s="56" t="s">
        <v>33</v>
      </c>
      <c r="C16" s="58">
        <v>0.73899999999999999</v>
      </c>
      <c r="D16" s="57"/>
      <c r="E16" s="25"/>
      <c r="F16" s="278" t="s">
        <v>34</v>
      </c>
      <c r="G16" s="278"/>
      <c r="H16" s="278"/>
      <c r="I16" s="28"/>
      <c r="J16" s="278" t="s">
        <v>4</v>
      </c>
      <c r="K16" s="278"/>
      <c r="L16" s="278"/>
      <c r="M16" s="28"/>
    </row>
    <row r="17" spans="2:13" ht="30" customHeight="1" x14ac:dyDescent="0.25">
      <c r="B17" s="56" t="s">
        <v>35</v>
      </c>
      <c r="C17" s="58">
        <v>0.58499999999999996</v>
      </c>
      <c r="D17" s="57"/>
      <c r="E17" s="25"/>
      <c r="F17" s="275" t="s">
        <v>6</v>
      </c>
      <c r="G17" s="275"/>
      <c r="H17" s="275"/>
      <c r="J17" s="275" t="s">
        <v>36</v>
      </c>
      <c r="K17" s="275"/>
      <c r="L17" s="275"/>
      <c r="M17" s="28"/>
    </row>
    <row r="18" spans="2:13" ht="30" customHeight="1" x14ac:dyDescent="0.25">
      <c r="B18" s="56" t="s">
        <v>37</v>
      </c>
      <c r="C18" s="58">
        <v>0.44900000000000001</v>
      </c>
      <c r="D18" s="57"/>
      <c r="E18" s="25"/>
      <c r="F18" s="276"/>
      <c r="G18" s="276"/>
      <c r="H18" s="276"/>
      <c r="I18" s="28"/>
      <c r="J18" s="276"/>
      <c r="K18" s="276"/>
      <c r="L18" s="276"/>
      <c r="M18" s="29"/>
    </row>
    <row r="19" spans="2:13" ht="30" customHeight="1" x14ac:dyDescent="0.25">
      <c r="B19" s="56" t="s">
        <v>38</v>
      </c>
      <c r="C19" s="58">
        <v>0.96899999999999997</v>
      </c>
      <c r="D19" s="57"/>
      <c r="E19" s="25"/>
      <c r="F19" s="54" t="s">
        <v>11</v>
      </c>
      <c r="G19" s="55" t="s">
        <v>12</v>
      </c>
      <c r="H19" s="55" t="s">
        <v>13</v>
      </c>
      <c r="I19" s="28"/>
      <c r="J19" s="54" t="s">
        <v>39</v>
      </c>
      <c r="K19" s="55" t="s">
        <v>40</v>
      </c>
      <c r="L19" s="55" t="s">
        <v>16</v>
      </c>
      <c r="M19" s="30"/>
    </row>
    <row r="20" spans="2:13" ht="30" customHeight="1" x14ac:dyDescent="0.25">
      <c r="B20" s="56" t="s">
        <v>41</v>
      </c>
      <c r="C20" s="56"/>
      <c r="D20" s="57"/>
      <c r="E20" s="25"/>
      <c r="F20" s="56" t="s">
        <v>42</v>
      </c>
      <c r="G20" s="60"/>
      <c r="H20" s="61"/>
      <c r="I20" s="29"/>
      <c r="J20" s="56" t="s">
        <v>19</v>
      </c>
      <c r="K20" s="60"/>
      <c r="L20" s="61"/>
      <c r="M20" s="29"/>
    </row>
    <row r="21" spans="2:13" ht="30" customHeight="1" x14ac:dyDescent="0.25">
      <c r="B21" s="56" t="s">
        <v>41</v>
      </c>
      <c r="C21" s="58"/>
      <c r="D21" s="57"/>
      <c r="E21" s="25"/>
      <c r="F21" s="56" t="s">
        <v>43</v>
      </c>
      <c r="G21" s="60"/>
      <c r="H21" s="61"/>
      <c r="I21" s="30"/>
      <c r="J21" s="58" t="s">
        <v>44</v>
      </c>
      <c r="K21" s="60"/>
      <c r="L21" s="61"/>
      <c r="M21" s="31"/>
    </row>
    <row r="22" spans="2:13" ht="30" customHeight="1" x14ac:dyDescent="0.25">
      <c r="B22" s="56" t="s">
        <v>41</v>
      </c>
      <c r="C22" s="58"/>
      <c r="D22" s="57"/>
      <c r="E22" s="25"/>
      <c r="F22" s="56" t="s">
        <v>45</v>
      </c>
      <c r="G22" s="60"/>
      <c r="H22" s="61"/>
      <c r="I22" s="29"/>
      <c r="J22" s="56" t="s">
        <v>46</v>
      </c>
      <c r="K22" s="60"/>
      <c r="L22" s="61"/>
      <c r="M22" s="31"/>
    </row>
    <row r="23" spans="2:13" ht="30" customHeight="1" x14ac:dyDescent="0.25">
      <c r="B23" s="32"/>
      <c r="C23" s="26"/>
      <c r="D23" s="25"/>
      <c r="E23" s="25"/>
      <c r="F23" s="31"/>
      <c r="G23" s="31"/>
      <c r="H23" s="31"/>
      <c r="I23" s="31"/>
      <c r="J23" s="62"/>
      <c r="K23" s="62"/>
      <c r="L23" s="62"/>
      <c r="M23" s="31"/>
    </row>
    <row r="24" spans="2:13" ht="30" customHeight="1" x14ac:dyDescent="0.25">
      <c r="B24" s="32"/>
      <c r="C24" s="33"/>
      <c r="D24" s="32"/>
      <c r="E24" s="32"/>
      <c r="F24" s="34"/>
      <c r="G24" s="34"/>
      <c r="H24" s="34"/>
      <c r="I24" s="34"/>
      <c r="J24" s="34"/>
      <c r="K24" s="34"/>
      <c r="L24" s="34"/>
      <c r="M24" s="34"/>
    </row>
    <row r="25" spans="2:13" ht="30" customHeight="1" x14ac:dyDescent="0.25">
      <c r="B25" s="32"/>
      <c r="C25" s="26"/>
      <c r="D25" s="25"/>
      <c r="E25" s="25"/>
      <c r="F25" s="31"/>
      <c r="G25" s="31"/>
      <c r="H25" s="31"/>
      <c r="I25" s="31"/>
      <c r="J25" s="31"/>
      <c r="K25" s="31"/>
      <c r="L25" s="31"/>
      <c r="M25" s="31"/>
    </row>
    <row r="26" spans="2:13" ht="30" customHeight="1" x14ac:dyDescent="0.25">
      <c r="B26" s="32"/>
      <c r="C26" s="26"/>
      <c r="D26" s="25"/>
      <c r="E26" s="25"/>
      <c r="F26" s="31"/>
      <c r="G26" s="31"/>
      <c r="H26" s="31"/>
      <c r="I26" s="31"/>
      <c r="J26" s="31"/>
      <c r="K26" s="31"/>
      <c r="L26" s="31"/>
      <c r="M26" s="31"/>
    </row>
    <row r="27" spans="2:13" ht="30" customHeight="1" x14ac:dyDescent="0.25">
      <c r="B27" s="32"/>
      <c r="C27" s="25"/>
      <c r="D27" s="25"/>
      <c r="E27" s="25"/>
      <c r="F27" s="31"/>
      <c r="G27" s="31"/>
      <c r="H27" s="29"/>
      <c r="I27" s="31"/>
      <c r="J27" s="29"/>
      <c r="K27" s="35"/>
      <c r="L27" s="35"/>
      <c r="M27" s="35"/>
    </row>
    <row r="28" spans="2:13" ht="30" customHeight="1" x14ac:dyDescent="0.25">
      <c r="B28" s="32"/>
      <c r="C28" s="26"/>
      <c r="D28" s="25"/>
      <c r="E28" s="25"/>
      <c r="F28" s="31"/>
      <c r="G28" s="31"/>
      <c r="H28" s="31"/>
      <c r="I28" s="31"/>
      <c r="J28" s="31"/>
      <c r="K28" s="36"/>
      <c r="L28" s="36"/>
      <c r="M28" s="36"/>
    </row>
    <row r="29" spans="2:13" ht="30" customHeight="1" x14ac:dyDescent="0.25">
      <c r="B29" s="32"/>
      <c r="C29" s="26"/>
      <c r="D29" s="25"/>
      <c r="E29" s="25"/>
      <c r="F29" s="31"/>
      <c r="G29" s="31"/>
      <c r="H29" s="31"/>
      <c r="I29" s="31"/>
      <c r="J29" s="31"/>
      <c r="K29" s="36"/>
      <c r="L29" s="36"/>
      <c r="M29" s="36"/>
    </row>
    <row r="30" spans="2:13" ht="30" customHeight="1" x14ac:dyDescent="0.25"/>
    <row r="31" spans="2:13" ht="30" customHeight="1" x14ac:dyDescent="0.25">
      <c r="B31" s="285"/>
      <c r="C31" s="286"/>
      <c r="D31" s="286"/>
      <c r="E31" s="37"/>
      <c r="F31" s="287"/>
      <c r="G31" s="287"/>
      <c r="H31" s="287"/>
      <c r="I31" s="287"/>
      <c r="J31" s="287"/>
      <c r="K31" s="287"/>
      <c r="L31" s="287"/>
      <c r="M31" s="287"/>
    </row>
    <row r="32" spans="2:13" ht="30" customHeight="1" x14ac:dyDescent="0.25">
      <c r="B32" s="288"/>
      <c r="C32" s="286"/>
      <c r="D32" s="286"/>
      <c r="E32" s="38"/>
      <c r="F32" s="39"/>
      <c r="G32" s="39"/>
      <c r="H32" s="40"/>
      <c r="I32" s="40"/>
      <c r="J32" s="40"/>
      <c r="K32" s="39"/>
      <c r="L32" s="39"/>
      <c r="M32" s="40"/>
    </row>
    <row r="33" spans="2:13" ht="30" customHeight="1" x14ac:dyDescent="0.25">
      <c r="B33" s="289"/>
      <c r="C33" s="289"/>
      <c r="D33" s="289"/>
      <c r="E33" s="25"/>
      <c r="F33" s="41"/>
      <c r="G33" s="41"/>
      <c r="H33" s="41"/>
      <c r="I33" s="28"/>
      <c r="J33" s="41"/>
      <c r="K33" s="41"/>
      <c r="L33" s="41"/>
      <c r="M33" s="41"/>
    </row>
    <row r="34" spans="2:13" ht="30" customHeight="1" x14ac:dyDescent="0.25">
      <c r="B34" s="281"/>
      <c r="C34" s="281"/>
      <c r="D34" s="281"/>
      <c r="E34" s="40"/>
      <c r="F34" s="42"/>
      <c r="G34" s="42"/>
      <c r="H34" s="42"/>
      <c r="I34" s="43"/>
      <c r="J34" s="42"/>
      <c r="K34" s="42"/>
      <c r="L34" s="42"/>
      <c r="M34" s="42"/>
    </row>
    <row r="35" spans="2:13" ht="30" customHeight="1" x14ac:dyDescent="0.25">
      <c r="B35" s="280"/>
      <c r="C35" s="280"/>
      <c r="D35" s="280"/>
      <c r="E35" s="38"/>
      <c r="F35" s="28"/>
      <c r="G35" s="28"/>
      <c r="H35" s="28"/>
      <c r="I35" s="28"/>
      <c r="J35" s="41"/>
      <c r="K35" s="41"/>
      <c r="L35" s="41"/>
      <c r="M35" s="41"/>
    </row>
    <row r="36" spans="2:13" ht="30" customHeight="1" x14ac:dyDescent="0.25">
      <c r="B36" s="282"/>
      <c r="C36" s="282"/>
      <c r="D36" s="282"/>
      <c r="E36" s="38"/>
      <c r="F36" s="41"/>
      <c r="G36" s="41"/>
      <c r="H36" s="41"/>
      <c r="I36" s="28"/>
      <c r="J36" s="41"/>
      <c r="K36" s="41"/>
      <c r="L36" s="41"/>
      <c r="M36" s="41"/>
    </row>
    <row r="37" spans="2:13" ht="30" customHeight="1" x14ac:dyDescent="0.25">
      <c r="B37" s="281"/>
      <c r="C37" s="281"/>
      <c r="D37" s="281"/>
      <c r="E37" s="40"/>
      <c r="F37" s="42"/>
      <c r="G37" s="42"/>
      <c r="H37" s="42"/>
      <c r="I37" s="43"/>
      <c r="J37" s="42"/>
      <c r="K37" s="42"/>
      <c r="L37" s="42"/>
      <c r="M37" s="42"/>
    </row>
    <row r="38" spans="2:13" ht="30" customHeight="1" x14ac:dyDescent="0.25">
      <c r="B38" s="280"/>
      <c r="C38" s="280"/>
      <c r="D38" s="280"/>
      <c r="E38" s="38"/>
      <c r="F38" s="41"/>
      <c r="G38" s="41"/>
      <c r="H38" s="41"/>
      <c r="I38" s="28"/>
      <c r="J38" s="41"/>
      <c r="K38" s="41"/>
      <c r="L38" s="41"/>
      <c r="M38" s="41"/>
    </row>
    <row r="39" spans="2:13" ht="30" customHeight="1" x14ac:dyDescent="0.25">
      <c r="B39" s="280"/>
      <c r="C39" s="280"/>
      <c r="D39" s="280"/>
      <c r="E39" s="38"/>
      <c r="F39" s="41"/>
      <c r="G39" s="41"/>
      <c r="H39" s="41"/>
      <c r="I39" s="28"/>
      <c r="J39" s="41"/>
      <c r="K39" s="41"/>
      <c r="L39" s="41"/>
      <c r="M39" s="41"/>
    </row>
    <row r="40" spans="2:13" ht="30" customHeight="1" x14ac:dyDescent="0.25">
      <c r="B40" s="280"/>
      <c r="C40" s="280"/>
      <c r="D40" s="280"/>
      <c r="E40" s="38"/>
      <c r="F40" s="41"/>
      <c r="G40" s="41"/>
      <c r="H40" s="41"/>
      <c r="I40" s="28"/>
      <c r="J40" s="41"/>
      <c r="K40" s="41"/>
      <c r="L40" s="41"/>
      <c r="M40" s="41"/>
    </row>
    <row r="41" spans="2:13" ht="30" customHeight="1" x14ac:dyDescent="0.25">
      <c r="B41" s="281"/>
      <c r="C41" s="281"/>
      <c r="D41" s="281"/>
      <c r="E41" s="40"/>
      <c r="F41" s="41"/>
      <c r="G41" s="41"/>
      <c r="H41" s="41"/>
      <c r="I41" s="28"/>
      <c r="J41" s="41"/>
      <c r="K41" s="41"/>
      <c r="L41" s="41"/>
      <c r="M41" s="41"/>
    </row>
    <row r="42" spans="2:13" ht="30" customHeight="1" x14ac:dyDescent="0.25">
      <c r="B42" s="279"/>
      <c r="C42" s="279"/>
      <c r="D42" s="279"/>
      <c r="E42" s="44"/>
      <c r="F42" s="44"/>
      <c r="G42" s="44"/>
      <c r="H42" s="44"/>
      <c r="I42" s="29"/>
      <c r="J42" s="44"/>
      <c r="K42" s="44"/>
      <c r="L42" s="44"/>
      <c r="M42" s="44"/>
    </row>
    <row r="43" spans="2:13" ht="30" customHeight="1" x14ac:dyDescent="0.25">
      <c r="B43" s="280"/>
      <c r="C43" s="280"/>
      <c r="D43" s="280"/>
      <c r="E43" s="38"/>
      <c r="F43" s="41"/>
      <c r="G43" s="41"/>
      <c r="H43" s="41"/>
      <c r="I43" s="28"/>
      <c r="J43" s="41"/>
      <c r="K43" s="41"/>
      <c r="L43" s="41"/>
      <c r="M43" s="41"/>
    </row>
    <row r="44" spans="2:13" ht="30" customHeight="1" x14ac:dyDescent="0.25">
      <c r="B44" s="280"/>
      <c r="C44" s="280"/>
      <c r="D44" s="280"/>
      <c r="E44" s="38"/>
      <c r="F44" s="41"/>
      <c r="G44" s="41"/>
      <c r="H44" s="41"/>
      <c r="I44" s="28"/>
      <c r="J44" s="41"/>
      <c r="K44" s="41"/>
      <c r="L44" s="41"/>
      <c r="M44" s="41"/>
    </row>
    <row r="45" spans="2:13" ht="30" customHeight="1" x14ac:dyDescent="0.25">
      <c r="B45" s="281"/>
      <c r="C45" s="281"/>
      <c r="D45" s="281"/>
      <c r="E45" s="40"/>
      <c r="F45" s="42"/>
      <c r="G45" s="42"/>
      <c r="H45" s="42"/>
      <c r="I45" s="43"/>
      <c r="J45" s="42"/>
      <c r="K45" s="42"/>
      <c r="L45" s="42"/>
      <c r="M45" s="42"/>
    </row>
    <row r="46" spans="2:13" ht="30" customHeight="1" x14ac:dyDescent="0.25">
      <c r="B46" s="281"/>
      <c r="C46" s="281"/>
      <c r="D46" s="281"/>
      <c r="E46" s="40"/>
      <c r="F46" s="42"/>
      <c r="G46" s="42"/>
      <c r="H46" s="42"/>
      <c r="I46" s="42"/>
      <c r="J46" s="42"/>
      <c r="K46" s="42"/>
      <c r="L46" s="42"/>
      <c r="M46" s="42"/>
    </row>
    <row r="47" spans="2:13" ht="30" customHeight="1" x14ac:dyDescent="0.25">
      <c r="B47" s="283"/>
      <c r="C47" s="283"/>
      <c r="D47" s="283"/>
      <c r="E47" s="25"/>
      <c r="F47" s="31"/>
      <c r="G47" s="31"/>
      <c r="H47" s="31"/>
      <c r="I47" s="31"/>
      <c r="J47" s="31"/>
      <c r="K47" s="31"/>
      <c r="L47" s="31"/>
      <c r="M47" s="31"/>
    </row>
    <row r="48" spans="2:13" ht="30" customHeight="1" x14ac:dyDescent="0.25">
      <c r="B48" s="284"/>
      <c r="C48" s="284"/>
      <c r="D48" s="284"/>
      <c r="E48" s="38"/>
      <c r="F48" s="45"/>
      <c r="G48" s="45"/>
      <c r="H48" s="45"/>
      <c r="I48" s="45"/>
      <c r="J48" s="46"/>
      <c r="K48" s="46"/>
      <c r="L48" s="46"/>
      <c r="M48" s="46"/>
    </row>
    <row r="49" spans="2:13" ht="30" customHeight="1" x14ac:dyDescent="0.25">
      <c r="B49" s="38"/>
      <c r="E49" s="47"/>
      <c r="F49" s="48"/>
      <c r="G49" s="48"/>
      <c r="H49" s="48"/>
      <c r="I49" s="48"/>
      <c r="J49" s="48"/>
      <c r="K49" s="48"/>
      <c r="L49" s="48"/>
      <c r="M49" s="48"/>
    </row>
    <row r="50" spans="2:13" ht="30" customHeight="1" x14ac:dyDescent="0.25">
      <c r="B50" s="280"/>
      <c r="C50" s="280"/>
      <c r="D50" s="280"/>
      <c r="E50" s="25"/>
      <c r="F50" s="49"/>
      <c r="G50" s="49"/>
      <c r="H50" s="49"/>
      <c r="I50" s="49"/>
      <c r="J50" s="31"/>
      <c r="K50" s="31"/>
      <c r="L50" s="31"/>
      <c r="M50" s="31"/>
    </row>
    <row r="51" spans="2:13" ht="30" customHeight="1" x14ac:dyDescent="0.25">
      <c r="B51" s="282"/>
      <c r="C51" s="282"/>
      <c r="D51" s="282"/>
      <c r="E51" s="25"/>
      <c r="F51" s="49"/>
      <c r="G51" s="49"/>
      <c r="H51" s="49"/>
      <c r="I51" s="49"/>
      <c r="J51" s="31"/>
      <c r="K51" s="31"/>
      <c r="L51" s="31"/>
      <c r="M51" s="31"/>
    </row>
    <row r="52" spans="2:13" ht="30" customHeight="1" x14ac:dyDescent="0.25">
      <c r="B52" s="281"/>
      <c r="C52" s="281"/>
      <c r="D52" s="281"/>
      <c r="E52" s="50"/>
      <c r="F52" s="51"/>
      <c r="G52" s="52"/>
      <c r="H52" s="51"/>
      <c r="I52" s="51"/>
      <c r="J52" s="52"/>
      <c r="K52" s="51"/>
      <c r="L52" s="51"/>
      <c r="M52" s="51"/>
    </row>
    <row r="53" spans="2:13" ht="15" hidden="1" x14ac:dyDescent="0.25"/>
    <row r="54" spans="2:13" ht="15" hidden="1" x14ac:dyDescent="0.25"/>
    <row r="55" spans="2:13" ht="15" hidden="1" x14ac:dyDescent="0.25"/>
    <row r="56" spans="2:13" ht="15" hidden="1" x14ac:dyDescent="0.25"/>
    <row r="57" spans="2:13" ht="15" hidden="1" x14ac:dyDescent="0.25"/>
  </sheetData>
  <mergeCells count="36">
    <mergeCell ref="J15:L15"/>
    <mergeCell ref="J16:L16"/>
    <mergeCell ref="J17:L18"/>
    <mergeCell ref="F17:H18"/>
    <mergeCell ref="F16:H16"/>
    <mergeCell ref="B31:D31"/>
    <mergeCell ref="F31:J31"/>
    <mergeCell ref="K31:M31"/>
    <mergeCell ref="B41:D41"/>
    <mergeCell ref="B32:D32"/>
    <mergeCell ref="B33:D33"/>
    <mergeCell ref="B52:D52"/>
    <mergeCell ref="B45:D45"/>
    <mergeCell ref="B46:D46"/>
    <mergeCell ref="B47:D47"/>
    <mergeCell ref="B48:D48"/>
    <mergeCell ref="B50:D50"/>
    <mergeCell ref="B51:D51"/>
    <mergeCell ref="B42:D42"/>
    <mergeCell ref="B43:D43"/>
    <mergeCell ref="B44:D44"/>
    <mergeCell ref="B34:D34"/>
    <mergeCell ref="B35:D35"/>
    <mergeCell ref="B36:D36"/>
    <mergeCell ref="B40:D40"/>
    <mergeCell ref="B37:D37"/>
    <mergeCell ref="B38:D38"/>
    <mergeCell ref="B39:D39"/>
    <mergeCell ref="B3:M3"/>
    <mergeCell ref="B4:M4"/>
    <mergeCell ref="J7:L8"/>
    <mergeCell ref="F7:H8"/>
    <mergeCell ref="B7:D8"/>
    <mergeCell ref="B6:D6"/>
    <mergeCell ref="F6:H6"/>
    <mergeCell ref="J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25"/>
  <cols>
    <col min="1" max="1" width="8.7109375" customWidth="1"/>
    <col min="2" max="9" width="25.7109375" customWidth="1"/>
    <col min="10" max="10" width="8.7109375" customWidth="1"/>
    <col min="11" max="16" width="0" hidden="1" customWidth="1"/>
    <col min="17" max="16384" width="8.7109375" hidden="1"/>
  </cols>
  <sheetData>
    <row r="1" spans="1:9" ht="15" hidden="1" x14ac:dyDescent="0.25"/>
    <row r="2" spans="1:9" ht="33" customHeight="1" x14ac:dyDescent="0.25">
      <c r="C2" s="24"/>
    </row>
    <row r="3" spans="1:9" ht="33" customHeight="1" x14ac:dyDescent="0.25">
      <c r="B3" s="272" t="s">
        <v>0</v>
      </c>
      <c r="C3" s="273"/>
      <c r="D3" s="273"/>
      <c r="E3" s="273"/>
      <c r="F3" s="273"/>
      <c r="G3" s="273"/>
      <c r="H3" s="273"/>
      <c r="I3" s="273"/>
    </row>
    <row r="4" spans="1:9" ht="33" customHeight="1" x14ac:dyDescent="0.25">
      <c r="B4" s="274" t="s">
        <v>1</v>
      </c>
      <c r="C4" s="274"/>
      <c r="D4" s="274"/>
      <c r="E4" s="274"/>
      <c r="F4" s="274"/>
      <c r="G4" s="274"/>
      <c r="H4" s="274"/>
      <c r="I4" s="274"/>
    </row>
    <row r="5" spans="1:9" ht="33" customHeight="1" x14ac:dyDescent="0.25">
      <c r="B5" s="66"/>
      <c r="C5" s="66"/>
      <c r="D5" s="66"/>
      <c r="E5" s="66"/>
      <c r="F5" s="66"/>
      <c r="G5" s="66"/>
      <c r="H5" s="66"/>
      <c r="I5" s="66"/>
    </row>
    <row r="6" spans="1:9" ht="33" customHeight="1" x14ac:dyDescent="0.25">
      <c r="B6" s="278" t="s">
        <v>47</v>
      </c>
      <c r="C6" s="278"/>
      <c r="D6" s="278"/>
      <c r="E6" s="278"/>
      <c r="F6" s="278"/>
      <c r="G6" s="278"/>
      <c r="H6" s="278"/>
      <c r="I6" s="278"/>
    </row>
    <row r="7" spans="1:9" ht="33" customHeight="1" x14ac:dyDescent="0.25">
      <c r="A7" s="23"/>
      <c r="B7" s="277" t="s">
        <v>7</v>
      </c>
      <c r="C7" s="273"/>
      <c r="D7" s="273"/>
      <c r="E7" s="273"/>
      <c r="F7" s="273"/>
      <c r="G7" s="273"/>
      <c r="H7" s="273"/>
      <c r="I7" s="273"/>
    </row>
    <row r="8" spans="1:9" ht="30" customHeight="1" x14ac:dyDescent="0.25">
      <c r="B8" s="65"/>
      <c r="C8" s="65"/>
      <c r="D8" s="65"/>
      <c r="E8" s="53"/>
      <c r="F8" s="64"/>
      <c r="G8" s="64"/>
      <c r="H8" s="64"/>
      <c r="I8" s="53"/>
    </row>
    <row r="9" spans="1:9" ht="30" customHeight="1" x14ac:dyDescent="0.25">
      <c r="B9" s="54" t="s">
        <v>14</v>
      </c>
      <c r="C9" s="55" t="s">
        <v>15</v>
      </c>
      <c r="D9" s="55" t="s">
        <v>16</v>
      </c>
      <c r="F9" s="64"/>
      <c r="G9" s="54" t="s">
        <v>39</v>
      </c>
      <c r="H9" s="55" t="s">
        <v>40</v>
      </c>
      <c r="I9" s="55" t="s">
        <v>16</v>
      </c>
    </row>
    <row r="10" spans="1:9" ht="30" customHeight="1" x14ac:dyDescent="0.25">
      <c r="B10" s="56" t="s">
        <v>19</v>
      </c>
      <c r="C10" s="60"/>
      <c r="D10" s="61"/>
      <c r="E10" s="25"/>
      <c r="F10" s="53"/>
      <c r="G10" s="56" t="s">
        <v>19</v>
      </c>
      <c r="H10" s="60"/>
      <c r="I10" s="61"/>
    </row>
    <row r="11" spans="1:9" ht="30" customHeight="1" x14ac:dyDescent="0.25">
      <c r="B11" s="58" t="s">
        <v>22</v>
      </c>
      <c r="C11" s="60"/>
      <c r="D11" s="61"/>
      <c r="E11" s="291" t="s">
        <v>36</v>
      </c>
      <c r="F11" s="292"/>
      <c r="G11" s="58" t="s">
        <v>44</v>
      </c>
      <c r="H11" s="60"/>
      <c r="I11" s="61"/>
    </row>
    <row r="12" spans="1:9" ht="30" customHeight="1" x14ac:dyDescent="0.25">
      <c r="B12" s="56" t="s">
        <v>25</v>
      </c>
      <c r="C12" s="60"/>
      <c r="D12" s="61"/>
      <c r="E12" s="291"/>
      <c r="F12" s="292"/>
      <c r="G12" s="56" t="s">
        <v>46</v>
      </c>
      <c r="H12" s="60"/>
      <c r="I12" s="61"/>
    </row>
    <row r="13" spans="1:9" ht="30" customHeight="1" x14ac:dyDescent="0.25">
      <c r="B13" s="56" t="s">
        <v>28</v>
      </c>
      <c r="C13" s="60"/>
      <c r="D13" s="61"/>
      <c r="E13" s="25"/>
      <c r="F13" s="63"/>
      <c r="G13" s="56" t="s">
        <v>25</v>
      </c>
      <c r="H13" s="60"/>
      <c r="I13" s="61"/>
    </row>
    <row r="14" spans="1:9" ht="30" customHeight="1" x14ac:dyDescent="0.25">
      <c r="B14" s="67"/>
      <c r="C14" s="60"/>
      <c r="D14" s="61"/>
      <c r="E14" s="25"/>
      <c r="F14" s="63"/>
      <c r="G14" s="56" t="s">
        <v>28</v>
      </c>
      <c r="H14" s="60"/>
      <c r="I14" s="61"/>
    </row>
    <row r="15" spans="1:9" ht="30" customHeight="1" x14ac:dyDescent="0.25">
      <c r="B15" s="290"/>
      <c r="C15" s="290"/>
      <c r="D15" s="290"/>
      <c r="E15" s="25"/>
      <c r="F15" s="63"/>
      <c r="G15" s="28"/>
      <c r="H15" s="28"/>
      <c r="I15" s="28"/>
    </row>
    <row r="16" spans="1:9" ht="30" customHeight="1" x14ac:dyDescent="0.25">
      <c r="B16" s="293"/>
      <c r="C16" s="293"/>
      <c r="D16" s="293"/>
      <c r="E16" s="293"/>
      <c r="F16" s="293"/>
      <c r="G16" s="293"/>
      <c r="H16" s="293"/>
      <c r="I16" s="293"/>
    </row>
    <row r="17" spans="2:9" ht="30" customHeight="1" x14ac:dyDescent="0.25">
      <c r="B17" s="277"/>
      <c r="C17" s="277"/>
      <c r="D17" s="277"/>
      <c r="E17" s="277"/>
      <c r="F17" s="277"/>
      <c r="G17" s="277"/>
      <c r="H17" s="277"/>
      <c r="I17" s="277"/>
    </row>
    <row r="18" spans="2:9" ht="30" customHeight="1" x14ac:dyDescent="0.25">
      <c r="B18" s="64"/>
      <c r="C18" s="64"/>
      <c r="D18" s="64"/>
      <c r="E18" s="25"/>
      <c r="F18" s="64"/>
      <c r="G18" s="64"/>
      <c r="H18" s="64"/>
    </row>
    <row r="19" spans="2:9" ht="30" customHeight="1" x14ac:dyDescent="0.25">
      <c r="E19" s="25"/>
      <c r="F19" s="64"/>
      <c r="G19" s="64"/>
      <c r="H19" s="64"/>
      <c r="I19" s="28"/>
    </row>
    <row r="20" spans="2:9" ht="30" customHeight="1" x14ac:dyDescent="0.25">
      <c r="E20" s="25"/>
      <c r="F20" s="53"/>
      <c r="G20" s="68"/>
      <c r="H20" s="68"/>
      <c r="I20" s="28"/>
    </row>
    <row r="21" spans="2:9" ht="30" customHeight="1" x14ac:dyDescent="0.25">
      <c r="E21" s="25"/>
      <c r="F21" s="63"/>
      <c r="G21" s="28"/>
      <c r="H21" s="28"/>
      <c r="I21" s="29"/>
    </row>
    <row r="22" spans="2:9" ht="30" customHeight="1" x14ac:dyDescent="0.25">
      <c r="E22" s="25"/>
      <c r="F22" s="63"/>
      <c r="G22" s="28"/>
      <c r="H22" s="28"/>
      <c r="I22" s="30"/>
    </row>
    <row r="23" spans="2:9" ht="30" customHeight="1" x14ac:dyDescent="0.25">
      <c r="B23" s="63"/>
      <c r="C23" s="64"/>
      <c r="D23" s="25"/>
      <c r="E23" s="25"/>
      <c r="F23" s="63"/>
      <c r="G23" s="28"/>
      <c r="H23" s="28"/>
      <c r="I23" s="29"/>
    </row>
    <row r="24" spans="2:9" ht="30" customHeight="1" x14ac:dyDescent="0.25">
      <c r="B24" s="32"/>
      <c r="C24" s="26"/>
      <c r="D24" s="25"/>
      <c r="E24" s="25"/>
      <c r="F24" s="31"/>
      <c r="G24" s="31"/>
      <c r="H24" s="31"/>
      <c r="I24" s="31"/>
    </row>
    <row r="25" spans="2:9" ht="30" customHeight="1" x14ac:dyDescent="0.25">
      <c r="B25" s="32"/>
      <c r="C25" s="33"/>
      <c r="D25" s="32"/>
      <c r="E25" s="32"/>
      <c r="F25" s="34"/>
      <c r="G25" s="34"/>
      <c r="H25" s="34"/>
      <c r="I25" s="34"/>
    </row>
    <row r="26" spans="2:9" ht="30" customHeight="1" x14ac:dyDescent="0.25">
      <c r="B26" s="32"/>
      <c r="C26" s="26"/>
      <c r="D26" s="25"/>
      <c r="E26" s="25"/>
      <c r="F26" s="31"/>
      <c r="G26" s="31"/>
      <c r="H26" s="31"/>
      <c r="I26" s="31"/>
    </row>
    <row r="27" spans="2:9" ht="30" customHeight="1" x14ac:dyDescent="0.25">
      <c r="B27" s="32"/>
      <c r="C27" s="26"/>
      <c r="D27" s="25"/>
      <c r="E27" s="25"/>
      <c r="F27" s="31"/>
      <c r="G27" s="31"/>
      <c r="H27" s="31"/>
      <c r="I27" s="31"/>
    </row>
    <row r="28" spans="2:9" ht="30" customHeight="1" x14ac:dyDescent="0.25">
      <c r="B28" s="32"/>
      <c r="C28" s="25"/>
      <c r="D28" s="25"/>
      <c r="E28" s="25"/>
      <c r="F28" s="31"/>
      <c r="G28" s="31"/>
      <c r="H28" s="29"/>
      <c r="I28" s="31"/>
    </row>
    <row r="29" spans="2:9" ht="30" customHeight="1" x14ac:dyDescent="0.25">
      <c r="B29" s="32"/>
      <c r="C29" s="26"/>
      <c r="D29" s="25"/>
      <c r="E29" s="25"/>
      <c r="F29" s="31"/>
      <c r="G29" s="31"/>
      <c r="H29" s="31"/>
      <c r="I29" s="31"/>
    </row>
    <row r="30" spans="2:9" ht="30" customHeight="1" x14ac:dyDescent="0.25">
      <c r="B30" s="32"/>
      <c r="C30" s="26"/>
      <c r="D30" s="25"/>
      <c r="E30" s="25"/>
      <c r="F30" s="31"/>
      <c r="G30" s="31"/>
      <c r="H30" s="31"/>
      <c r="I30" s="31"/>
    </row>
    <row r="31" spans="2:9" ht="30" customHeight="1" x14ac:dyDescent="0.25"/>
    <row r="32" spans="2:9" ht="30" customHeight="1" x14ac:dyDescent="0.25">
      <c r="B32" s="285"/>
      <c r="C32" s="286"/>
      <c r="D32" s="286"/>
      <c r="E32" s="37"/>
      <c r="F32" s="287"/>
      <c r="G32" s="287"/>
      <c r="H32" s="287"/>
      <c r="I32" s="287"/>
    </row>
    <row r="33" spans="2:9" ht="30" customHeight="1" x14ac:dyDescent="0.25">
      <c r="B33" s="288"/>
      <c r="C33" s="286"/>
      <c r="D33" s="286"/>
      <c r="E33" s="38"/>
      <c r="F33" s="39"/>
      <c r="G33" s="39"/>
      <c r="H33" s="40"/>
      <c r="I33" s="40"/>
    </row>
    <row r="34" spans="2:9" ht="30" customHeight="1" x14ac:dyDescent="0.25">
      <c r="B34" s="289"/>
      <c r="C34" s="289"/>
      <c r="D34" s="289"/>
      <c r="E34" s="25"/>
      <c r="F34" s="41"/>
      <c r="G34" s="41"/>
      <c r="H34" s="41"/>
      <c r="I34" s="28"/>
    </row>
    <row r="35" spans="2:9" ht="30" customHeight="1" x14ac:dyDescent="0.25">
      <c r="B35" s="281"/>
      <c r="C35" s="281"/>
      <c r="D35" s="281"/>
      <c r="E35" s="40"/>
      <c r="F35" s="42"/>
      <c r="G35" s="42"/>
      <c r="H35" s="42"/>
      <c r="I35" s="43"/>
    </row>
    <row r="36" spans="2:9" ht="30" customHeight="1" x14ac:dyDescent="0.25">
      <c r="B36" s="280"/>
      <c r="C36" s="280"/>
      <c r="D36" s="280"/>
      <c r="E36" s="38"/>
      <c r="F36" s="28"/>
      <c r="G36" s="28"/>
      <c r="H36" s="28"/>
      <c r="I36" s="28"/>
    </row>
    <row r="37" spans="2:9" ht="30" customHeight="1" x14ac:dyDescent="0.25">
      <c r="B37" s="282"/>
      <c r="C37" s="282"/>
      <c r="D37" s="282"/>
      <c r="E37" s="38"/>
      <c r="F37" s="41"/>
      <c r="G37" s="41"/>
      <c r="H37" s="41"/>
      <c r="I37" s="28"/>
    </row>
    <row r="38" spans="2:9" ht="30" customHeight="1" x14ac:dyDescent="0.25">
      <c r="B38" s="281"/>
      <c r="C38" s="281"/>
      <c r="D38" s="281"/>
      <c r="E38" s="40"/>
      <c r="F38" s="42"/>
      <c r="G38" s="42"/>
      <c r="H38" s="42"/>
      <c r="I38" s="43"/>
    </row>
    <row r="39" spans="2:9" ht="30" customHeight="1" x14ac:dyDescent="0.25">
      <c r="B39" s="280"/>
      <c r="C39" s="280"/>
      <c r="D39" s="280"/>
      <c r="E39" s="38"/>
      <c r="F39" s="41"/>
      <c r="G39" s="41"/>
      <c r="H39" s="41"/>
      <c r="I39" s="28"/>
    </row>
    <row r="40" spans="2:9" ht="30" customHeight="1" x14ac:dyDescent="0.25">
      <c r="B40" s="280"/>
      <c r="C40" s="280"/>
      <c r="D40" s="280"/>
      <c r="E40" s="38"/>
      <c r="F40" s="41"/>
      <c r="G40" s="41"/>
      <c r="H40" s="41"/>
      <c r="I40" s="28"/>
    </row>
    <row r="41" spans="2:9" ht="30" customHeight="1" x14ac:dyDescent="0.25">
      <c r="B41" s="280"/>
      <c r="C41" s="280"/>
      <c r="D41" s="280"/>
      <c r="E41" s="38"/>
      <c r="F41" s="41"/>
      <c r="G41" s="41"/>
      <c r="H41" s="41"/>
      <c r="I41" s="28"/>
    </row>
    <row r="42" spans="2:9" ht="30" customHeight="1" x14ac:dyDescent="0.25">
      <c r="B42" s="281"/>
      <c r="C42" s="281"/>
      <c r="D42" s="281"/>
      <c r="E42" s="40"/>
      <c r="F42" s="41"/>
      <c r="G42" s="41"/>
      <c r="H42" s="41"/>
      <c r="I42" s="28"/>
    </row>
    <row r="43" spans="2:9" ht="30" customHeight="1" x14ac:dyDescent="0.25">
      <c r="B43" s="279"/>
      <c r="C43" s="279"/>
      <c r="D43" s="279"/>
      <c r="E43" s="44"/>
      <c r="F43" s="44"/>
      <c r="G43" s="44"/>
      <c r="H43" s="44"/>
      <c r="I43" s="29"/>
    </row>
    <row r="44" spans="2:9" ht="30" customHeight="1" x14ac:dyDescent="0.25">
      <c r="B44" s="280"/>
      <c r="C44" s="280"/>
      <c r="D44" s="280"/>
      <c r="E44" s="38"/>
      <c r="F44" s="41"/>
      <c r="G44" s="41"/>
      <c r="H44" s="41"/>
      <c r="I44" s="28"/>
    </row>
    <row r="45" spans="2:9" ht="30" customHeight="1" x14ac:dyDescent="0.25">
      <c r="B45" s="280"/>
      <c r="C45" s="280"/>
      <c r="D45" s="280"/>
      <c r="E45" s="38"/>
      <c r="F45" s="41"/>
      <c r="G45" s="41"/>
      <c r="H45" s="41"/>
      <c r="I45" s="28"/>
    </row>
    <row r="46" spans="2:9" ht="30" customHeight="1" x14ac:dyDescent="0.25">
      <c r="B46" s="281"/>
      <c r="C46" s="281"/>
      <c r="D46" s="281"/>
      <c r="E46" s="40"/>
      <c r="F46" s="42"/>
      <c r="G46" s="42"/>
      <c r="H46" s="42"/>
      <c r="I46" s="43"/>
    </row>
    <row r="47" spans="2:9" ht="30" customHeight="1" x14ac:dyDescent="0.25">
      <c r="B47" s="281"/>
      <c r="C47" s="281"/>
      <c r="D47" s="281"/>
      <c r="E47" s="40"/>
      <c r="F47" s="42"/>
      <c r="G47" s="42"/>
      <c r="H47" s="42"/>
      <c r="I47" s="42"/>
    </row>
    <row r="48" spans="2:9" ht="30" customHeight="1" x14ac:dyDescent="0.25">
      <c r="B48" s="283"/>
      <c r="C48" s="283"/>
      <c r="D48" s="283"/>
      <c r="E48" s="25"/>
      <c r="F48" s="31"/>
      <c r="G48" s="31"/>
      <c r="H48" s="31"/>
      <c r="I48" s="31"/>
    </row>
    <row r="49" spans="2:9" ht="30" customHeight="1" x14ac:dyDescent="0.25">
      <c r="B49" s="284"/>
      <c r="C49" s="284"/>
      <c r="D49" s="284"/>
      <c r="E49" s="38"/>
      <c r="F49" s="45"/>
      <c r="G49" s="45"/>
      <c r="H49" s="45"/>
      <c r="I49" s="45"/>
    </row>
    <row r="50" spans="2:9" ht="30" customHeight="1" x14ac:dyDescent="0.25">
      <c r="B50" s="38"/>
      <c r="E50" s="47"/>
      <c r="F50" s="48"/>
      <c r="G50" s="48"/>
      <c r="H50" s="48"/>
      <c r="I50" s="48"/>
    </row>
    <row r="51" spans="2:9" ht="30" customHeight="1" x14ac:dyDescent="0.25">
      <c r="B51" s="280"/>
      <c r="C51" s="280"/>
      <c r="D51" s="280"/>
      <c r="E51" s="25"/>
      <c r="F51" s="49"/>
      <c r="G51" s="49"/>
      <c r="H51" s="49"/>
      <c r="I51" s="49"/>
    </row>
    <row r="52" spans="2:9" ht="30" customHeight="1" x14ac:dyDescent="0.25">
      <c r="B52" s="282"/>
      <c r="C52" s="282"/>
      <c r="D52" s="282"/>
      <c r="E52" s="25"/>
      <c r="F52" s="49"/>
      <c r="G52" s="49"/>
      <c r="H52" s="49"/>
      <c r="I52" s="49"/>
    </row>
    <row r="53" spans="2:9" ht="30" customHeight="1" x14ac:dyDescent="0.25">
      <c r="B53" s="281"/>
      <c r="C53" s="281"/>
      <c r="D53" s="281"/>
      <c r="E53" s="50"/>
      <c r="F53" s="51"/>
      <c r="G53" s="52"/>
      <c r="H53" s="51"/>
      <c r="I53" s="51"/>
    </row>
    <row r="54" spans="2:9" ht="15" hidden="1" x14ac:dyDescent="0.25"/>
    <row r="55" spans="2:9" ht="15" hidden="1" x14ac:dyDescent="0.25"/>
    <row r="56" spans="2:9" ht="15" hidden="1" x14ac:dyDescent="0.25"/>
    <row r="57" spans="2:9" ht="15" hidden="1" x14ac:dyDescent="0.25"/>
    <row r="58" spans="2:9" ht="15" hidden="1" x14ac:dyDescent="0.25"/>
  </sheetData>
  <mergeCells count="30">
    <mergeCell ref="B15:D15"/>
    <mergeCell ref="B32:D32"/>
    <mergeCell ref="F32:I32"/>
    <mergeCell ref="B3:I3"/>
    <mergeCell ref="B4:I4"/>
    <mergeCell ref="B42:D42"/>
    <mergeCell ref="B43:D43"/>
    <mergeCell ref="B44:D44"/>
    <mergeCell ref="B33:D33"/>
    <mergeCell ref="B34:D34"/>
    <mergeCell ref="B35:D35"/>
    <mergeCell ref="B36:D36"/>
    <mergeCell ref="B37:D37"/>
    <mergeCell ref="B38:D38"/>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P130"/>
  <sheetViews>
    <sheetView showGridLines="0" topLeftCell="A2" zoomScale="90" zoomScaleNormal="90" workbookViewId="0">
      <selection activeCell="B3" sqref="B3:J3"/>
    </sheetView>
  </sheetViews>
  <sheetFormatPr defaultColWidth="0" defaultRowHeight="0" customHeight="1" zeroHeight="1" x14ac:dyDescent="0.25"/>
  <cols>
    <col min="1" max="1" width="8.7109375" customWidth="1"/>
    <col min="2" max="3" width="28.7109375" customWidth="1"/>
    <col min="4" max="10" width="25.7109375" customWidth="1"/>
    <col min="11" max="11" width="8.7109375" customWidth="1"/>
    <col min="12" max="12" width="8.7109375" hidden="1" customWidth="1"/>
    <col min="13" max="13" width="30.7109375" hidden="1" customWidth="1"/>
    <col min="14" max="16384" width="8.7109375" hidden="1"/>
  </cols>
  <sheetData>
    <row r="1" spans="1:10" ht="15" hidden="1" x14ac:dyDescent="0.25"/>
    <row r="2" spans="1:10" ht="33" customHeight="1" x14ac:dyDescent="0.25">
      <c r="A2" s="23">
        <v>1000</v>
      </c>
      <c r="B2" s="24"/>
      <c r="C2" s="24"/>
      <c r="D2" s="24"/>
    </row>
    <row r="3" spans="1:10" ht="33" customHeight="1" x14ac:dyDescent="0.25">
      <c r="B3" s="272" t="s">
        <v>117</v>
      </c>
      <c r="C3" s="272"/>
      <c r="D3" s="272"/>
      <c r="E3" s="272"/>
      <c r="F3" s="272"/>
      <c r="G3" s="272"/>
      <c r="H3" s="272"/>
      <c r="I3" s="272"/>
      <c r="J3" s="272"/>
    </row>
    <row r="4" spans="1:10" ht="35.1" customHeight="1" x14ac:dyDescent="0.25">
      <c r="B4" s="314" t="s">
        <v>95</v>
      </c>
      <c r="C4" s="314"/>
      <c r="D4" s="314"/>
      <c r="E4" s="274"/>
      <c r="F4" s="274"/>
      <c r="G4" s="274"/>
      <c r="H4" s="274"/>
      <c r="I4" s="274"/>
      <c r="J4" s="274"/>
    </row>
    <row r="5" spans="1:10" ht="35.1" customHeight="1" x14ac:dyDescent="0.25">
      <c r="B5" s="78"/>
      <c r="C5" s="241"/>
      <c r="D5" s="78"/>
      <c r="E5" s="66"/>
      <c r="F5" s="66"/>
      <c r="G5" s="66"/>
      <c r="H5" s="66"/>
      <c r="I5" s="66"/>
      <c r="J5" s="66"/>
    </row>
    <row r="6" spans="1:10" ht="33" customHeight="1" x14ac:dyDescent="0.25">
      <c r="B6" s="73"/>
      <c r="C6" s="315" t="s">
        <v>93</v>
      </c>
      <c r="D6" s="315"/>
      <c r="E6" s="315"/>
      <c r="G6" s="315" t="s">
        <v>94</v>
      </c>
      <c r="H6" s="315"/>
      <c r="I6" s="315"/>
      <c r="J6" s="66"/>
    </row>
    <row r="7" spans="1:10" ht="66" customHeight="1" x14ac:dyDescent="0.25">
      <c r="B7" s="66"/>
      <c r="C7" s="127" t="s">
        <v>461</v>
      </c>
      <c r="D7" s="127" t="s">
        <v>462</v>
      </c>
      <c r="E7" s="127" t="s">
        <v>463</v>
      </c>
      <c r="G7" s="127" t="s">
        <v>464</v>
      </c>
      <c r="H7" s="127" t="s">
        <v>465</v>
      </c>
      <c r="I7" s="127" t="s">
        <v>466</v>
      </c>
      <c r="J7" s="72"/>
    </row>
    <row r="8" spans="1:10" ht="33" customHeight="1" x14ac:dyDescent="0.25">
      <c r="B8" s="66"/>
      <c r="C8" s="145"/>
      <c r="D8" s="145"/>
      <c r="E8" s="145"/>
      <c r="G8" s="145"/>
      <c r="H8" s="145"/>
      <c r="I8" s="145"/>
      <c r="J8" s="66"/>
    </row>
    <row r="9" spans="1:10" ht="33" customHeight="1" x14ac:dyDescent="0.25">
      <c r="B9" s="66"/>
      <c r="C9" s="240"/>
      <c r="D9" s="66"/>
      <c r="E9" s="66"/>
      <c r="F9" s="66"/>
      <c r="G9" s="66"/>
      <c r="H9" s="66"/>
      <c r="I9" s="66"/>
      <c r="J9" s="66"/>
    </row>
    <row r="10" spans="1:10" ht="30" customHeight="1" x14ac:dyDescent="0.25">
      <c r="B10" s="298" t="s">
        <v>335</v>
      </c>
      <c r="C10" s="298"/>
      <c r="D10" s="298"/>
      <c r="E10" s="298"/>
      <c r="F10" s="298"/>
      <c r="G10" s="298"/>
      <c r="H10" s="298"/>
      <c r="I10" s="298"/>
      <c r="J10" s="298"/>
    </row>
    <row r="11" spans="1:10" ht="60" customHeight="1" x14ac:dyDescent="0.25">
      <c r="B11" s="275" t="s">
        <v>336</v>
      </c>
      <c r="C11" s="275"/>
      <c r="D11" s="275"/>
      <c r="E11" s="275"/>
      <c r="F11" s="275"/>
      <c r="G11" s="275"/>
      <c r="H11" s="275"/>
      <c r="I11" s="275"/>
      <c r="J11" s="275"/>
    </row>
    <row r="12" spans="1:10" ht="20.100000000000001" customHeight="1" x14ac:dyDescent="0.25">
      <c r="B12" s="126"/>
      <c r="C12" s="126"/>
      <c r="D12" s="126"/>
      <c r="E12" s="126"/>
      <c r="F12" s="126"/>
      <c r="G12" s="126"/>
      <c r="H12" s="126"/>
      <c r="I12" s="126"/>
      <c r="J12" s="126"/>
    </row>
    <row r="13" spans="1:10" ht="30" customHeight="1" x14ac:dyDescent="0.25">
      <c r="D13" s="55" t="s">
        <v>96</v>
      </c>
      <c r="E13" s="55" t="s">
        <v>380</v>
      </c>
      <c r="F13" s="55" t="s">
        <v>104</v>
      </c>
      <c r="G13" s="55" t="s">
        <v>102</v>
      </c>
      <c r="I13" s="68"/>
    </row>
    <row r="14" spans="1:10" ht="30" customHeight="1" x14ac:dyDescent="0.25">
      <c r="D14" s="130" t="s">
        <v>97</v>
      </c>
      <c r="E14" s="144"/>
      <c r="F14" s="144"/>
      <c r="G14" s="141">
        <v>524</v>
      </c>
    </row>
    <row r="15" spans="1:10" ht="30" customHeight="1" x14ac:dyDescent="0.25">
      <c r="D15" s="130" t="s">
        <v>242</v>
      </c>
      <c r="E15" s="144"/>
      <c r="F15" s="144"/>
      <c r="G15" s="141">
        <v>3</v>
      </c>
    </row>
    <row r="16" spans="1:10" ht="30" customHeight="1" x14ac:dyDescent="0.25">
      <c r="D16" s="130" t="s">
        <v>98</v>
      </c>
      <c r="E16" s="144"/>
      <c r="F16" s="144"/>
      <c r="G16" s="141">
        <v>21</v>
      </c>
    </row>
    <row r="17" spans="2:10" ht="30" customHeight="1" x14ac:dyDescent="0.25">
      <c r="D17" s="130" t="s">
        <v>99</v>
      </c>
      <c r="E17" s="144"/>
      <c r="F17" s="144"/>
      <c r="G17" s="141">
        <v>30</v>
      </c>
    </row>
    <row r="18" spans="2:10" ht="30" customHeight="1" x14ac:dyDescent="0.25">
      <c r="D18" s="130" t="s">
        <v>379</v>
      </c>
      <c r="E18" s="144"/>
      <c r="F18" s="144"/>
      <c r="G18" s="223">
        <v>4</v>
      </c>
    </row>
    <row r="19" spans="2:10" ht="30" customHeight="1" x14ac:dyDescent="0.25">
      <c r="D19" s="130" t="s">
        <v>100</v>
      </c>
      <c r="E19" s="144"/>
      <c r="F19" s="144"/>
      <c r="G19" s="141">
        <v>0</v>
      </c>
    </row>
    <row r="20" spans="2:10" ht="30" customHeight="1" x14ac:dyDescent="0.25">
      <c r="D20" s="185" t="s">
        <v>101</v>
      </c>
      <c r="E20" s="144"/>
      <c r="F20" s="144"/>
      <c r="G20" s="144"/>
    </row>
    <row r="21" spans="2:10" ht="30" customHeight="1" x14ac:dyDescent="0.25"/>
    <row r="22" spans="2:10" ht="30" customHeight="1" x14ac:dyDescent="0.25">
      <c r="D22" s="55" t="s">
        <v>103</v>
      </c>
      <c r="E22" s="55" t="s">
        <v>274</v>
      </c>
      <c r="F22" s="55" t="s">
        <v>105</v>
      </c>
      <c r="G22" s="55" t="s">
        <v>106</v>
      </c>
    </row>
    <row r="23" spans="2:10" ht="30" customHeight="1" x14ac:dyDescent="0.25">
      <c r="D23" s="130" t="s">
        <v>107</v>
      </c>
      <c r="E23" s="144"/>
      <c r="F23" s="141">
        <v>21</v>
      </c>
      <c r="G23" s="141">
        <v>268</v>
      </c>
    </row>
    <row r="24" spans="2:10" ht="30" customHeight="1" x14ac:dyDescent="0.25">
      <c r="D24" s="130" t="s">
        <v>528</v>
      </c>
      <c r="E24" s="144"/>
      <c r="F24" s="141">
        <v>42</v>
      </c>
      <c r="G24" s="141">
        <v>206</v>
      </c>
    </row>
    <row r="25" spans="2:10" ht="30" customHeight="1" x14ac:dyDescent="0.25">
      <c r="D25" s="130" t="s">
        <v>100</v>
      </c>
      <c r="E25" s="144"/>
      <c r="F25" s="141">
        <v>0</v>
      </c>
      <c r="G25" s="141">
        <v>0</v>
      </c>
    </row>
    <row r="26" spans="2:10" ht="30" customHeight="1" x14ac:dyDescent="0.25">
      <c r="D26" s="130" t="s">
        <v>108</v>
      </c>
      <c r="E26" s="144"/>
      <c r="F26" s="144"/>
      <c r="G26" s="141">
        <v>0</v>
      </c>
      <c r="I26" s="107"/>
    </row>
    <row r="27" spans="2:10" ht="30" customHeight="1" x14ac:dyDescent="0.25">
      <c r="D27" s="130" t="s">
        <v>111</v>
      </c>
      <c r="E27" s="144"/>
      <c r="F27" s="144"/>
      <c r="G27" s="141">
        <v>0</v>
      </c>
      <c r="I27" s="107"/>
    </row>
    <row r="28" spans="2:10" ht="30" customHeight="1" x14ac:dyDescent="0.25">
      <c r="D28" s="186" t="s">
        <v>101</v>
      </c>
      <c r="E28" s="144"/>
      <c r="F28" s="144"/>
      <c r="G28" s="144"/>
      <c r="I28" s="107"/>
    </row>
    <row r="29" spans="2:10" ht="35.1" customHeight="1" x14ac:dyDescent="0.25">
      <c r="D29" s="318" t="s">
        <v>109</v>
      </c>
      <c r="E29" s="318"/>
      <c r="F29" s="318"/>
      <c r="G29" s="318"/>
      <c r="I29" s="107"/>
    </row>
    <row r="30" spans="2:10" ht="35.1" customHeight="1" x14ac:dyDescent="0.25">
      <c r="D30" s="319" t="s">
        <v>110</v>
      </c>
      <c r="E30" s="319"/>
      <c r="F30" s="319"/>
      <c r="G30" s="319"/>
      <c r="I30" s="107"/>
    </row>
    <row r="31" spans="2:10" ht="30" customHeight="1" x14ac:dyDescent="0.25">
      <c r="E31" s="128"/>
      <c r="F31" s="128"/>
      <c r="G31" s="128"/>
      <c r="H31" s="128"/>
      <c r="I31" s="107"/>
    </row>
    <row r="32" spans="2:10" ht="30" customHeight="1" x14ac:dyDescent="0.25">
      <c r="B32" s="320" t="s">
        <v>375</v>
      </c>
      <c r="C32" s="320"/>
      <c r="D32" s="298"/>
      <c r="E32" s="298"/>
      <c r="F32" s="298"/>
      <c r="G32" s="298"/>
      <c r="H32" s="298"/>
      <c r="I32" s="298"/>
      <c r="J32" s="298"/>
    </row>
    <row r="33" spans="2:10" ht="60" customHeight="1" x14ac:dyDescent="0.25">
      <c r="B33" s="275" t="s">
        <v>337</v>
      </c>
      <c r="C33" s="275"/>
      <c r="D33" s="316"/>
      <c r="E33" s="316"/>
      <c r="F33" s="316"/>
      <c r="G33" s="316"/>
      <c r="H33" s="316"/>
      <c r="I33" s="316"/>
      <c r="J33" s="316"/>
    </row>
    <row r="34" spans="2:10" ht="20.100000000000001" customHeight="1" x14ac:dyDescent="0.25">
      <c r="E34" s="28"/>
      <c r="I34" s="74"/>
      <c r="J34" s="28"/>
    </row>
    <row r="35" spans="2:10" ht="30" customHeight="1" x14ac:dyDescent="0.25">
      <c r="D35" s="55" t="s">
        <v>112</v>
      </c>
      <c r="E35" s="55" t="s">
        <v>113</v>
      </c>
      <c r="F35" s="55" t="s">
        <v>114</v>
      </c>
      <c r="G35" s="55" t="s">
        <v>115</v>
      </c>
      <c r="I35" s="68"/>
      <c r="J35" s="68"/>
    </row>
    <row r="36" spans="2:10" ht="30" customHeight="1" x14ac:dyDescent="0.25">
      <c r="D36" s="130" t="s">
        <v>435</v>
      </c>
      <c r="E36" s="144"/>
      <c r="F36" s="224">
        <f>0.1*2.974</f>
        <v>0.29740000000000005</v>
      </c>
      <c r="G36" s="143">
        <f>0.9*2.974</f>
        <v>2.6766000000000001</v>
      </c>
      <c r="I36" s="28"/>
      <c r="J36" s="63"/>
    </row>
    <row r="37" spans="2:10" ht="30" customHeight="1" x14ac:dyDescent="0.25">
      <c r="D37" s="130" t="s">
        <v>116</v>
      </c>
      <c r="E37" s="144"/>
      <c r="F37" s="224">
        <f>0.1*2.581</f>
        <v>0.2581</v>
      </c>
      <c r="G37" s="143">
        <f>0.9*2.581</f>
        <v>2.3229000000000002</v>
      </c>
      <c r="I37" s="28"/>
      <c r="J37" s="63"/>
    </row>
    <row r="38" spans="2:10" ht="30" customHeight="1" x14ac:dyDescent="0.25">
      <c r="D38" s="130" t="s">
        <v>48</v>
      </c>
      <c r="E38" s="144"/>
      <c r="F38" s="143">
        <v>1.07</v>
      </c>
      <c r="G38" s="141">
        <v>0</v>
      </c>
      <c r="I38" s="28"/>
      <c r="J38" s="63"/>
    </row>
    <row r="39" spans="2:10" ht="30" customHeight="1" x14ac:dyDescent="0.25">
      <c r="D39" s="130" t="s">
        <v>49</v>
      </c>
      <c r="E39" s="144"/>
      <c r="F39" s="143">
        <v>0.56000000000000005</v>
      </c>
      <c r="G39" s="141">
        <v>0</v>
      </c>
      <c r="I39" s="28"/>
      <c r="J39" s="63"/>
    </row>
    <row r="40" spans="2:10" ht="30" customHeight="1" x14ac:dyDescent="0.25">
      <c r="D40" s="130" t="s">
        <v>50</v>
      </c>
      <c r="E40" s="144"/>
      <c r="F40" s="143">
        <v>1.1000000000000001</v>
      </c>
      <c r="G40" s="141">
        <v>0</v>
      </c>
      <c r="I40" s="28"/>
      <c r="J40" s="63"/>
    </row>
    <row r="41" spans="2:10" ht="30" customHeight="1" x14ac:dyDescent="0.25">
      <c r="D41" s="130" t="s">
        <v>77</v>
      </c>
      <c r="E41" s="144"/>
      <c r="F41" s="143">
        <v>0.4</v>
      </c>
      <c r="G41" s="226">
        <v>0</v>
      </c>
      <c r="I41" s="28"/>
      <c r="J41" s="63"/>
    </row>
    <row r="42" spans="2:10" ht="30" customHeight="1" x14ac:dyDescent="0.25">
      <c r="D42" s="130" t="s">
        <v>436</v>
      </c>
      <c r="E42" s="144"/>
      <c r="F42" s="143">
        <v>0.36</v>
      </c>
      <c r="G42" s="141">
        <v>0</v>
      </c>
      <c r="I42" s="28"/>
      <c r="J42" s="62"/>
    </row>
    <row r="43" spans="2:10" ht="30" customHeight="1" x14ac:dyDescent="0.25">
      <c r="D43" s="185" t="s">
        <v>101</v>
      </c>
      <c r="E43" s="144"/>
      <c r="F43" s="144"/>
      <c r="G43" s="144"/>
      <c r="I43" s="28"/>
      <c r="J43" s="62"/>
    </row>
    <row r="44" spans="2:10" ht="30" customHeight="1" x14ac:dyDescent="0.25">
      <c r="D44" s="185" t="s">
        <v>101</v>
      </c>
      <c r="E44" s="144"/>
      <c r="F44" s="144"/>
      <c r="G44" s="144"/>
      <c r="I44" s="28"/>
      <c r="J44" s="62"/>
    </row>
    <row r="45" spans="2:10" ht="30" customHeight="1" x14ac:dyDescent="0.25">
      <c r="B45" s="86"/>
      <c r="C45" s="238"/>
      <c r="D45" s="227"/>
      <c r="E45" s="86"/>
      <c r="F45" s="38"/>
      <c r="G45" s="38"/>
      <c r="I45" s="41"/>
      <c r="J45" s="41"/>
    </row>
    <row r="46" spans="2:10" ht="30" customHeight="1" x14ac:dyDescent="0.25">
      <c r="B46" s="298" t="s">
        <v>338</v>
      </c>
      <c r="C46" s="298"/>
      <c r="D46" s="298"/>
      <c r="E46" s="298"/>
      <c r="F46" s="298"/>
      <c r="G46" s="298"/>
      <c r="H46" s="298"/>
      <c r="I46" s="298"/>
      <c r="J46" s="298"/>
    </row>
    <row r="47" spans="2:10" ht="60" customHeight="1" x14ac:dyDescent="0.25">
      <c r="B47" s="275" t="s">
        <v>529</v>
      </c>
      <c r="C47" s="275"/>
      <c r="D47" s="316"/>
      <c r="E47" s="316"/>
      <c r="F47" s="316"/>
      <c r="G47" s="316"/>
      <c r="H47" s="316"/>
      <c r="I47" s="316"/>
      <c r="J47" s="316"/>
    </row>
    <row r="48" spans="2:10" ht="20.100000000000001" customHeight="1" x14ac:dyDescent="0.25">
      <c r="B48" s="38"/>
      <c r="C48" s="237"/>
      <c r="D48" s="96" t="s">
        <v>51</v>
      </c>
      <c r="E48" s="38"/>
      <c r="F48" s="38"/>
      <c r="G48" s="38"/>
      <c r="H48" s="38"/>
      <c r="I48" s="38"/>
      <c r="J48" s="38"/>
    </row>
    <row r="49" spans="2:10" ht="30" customHeight="1" x14ac:dyDescent="0.25">
      <c r="B49" s="322" t="s">
        <v>118</v>
      </c>
      <c r="C49" s="323"/>
      <c r="D49" s="324"/>
      <c r="E49" s="55" t="s">
        <v>273</v>
      </c>
      <c r="F49" s="54" t="s">
        <v>382</v>
      </c>
      <c r="G49" s="54" t="s">
        <v>119</v>
      </c>
      <c r="H49" s="55" t="s">
        <v>120</v>
      </c>
      <c r="I49" s="55" t="s">
        <v>384</v>
      </c>
      <c r="J49" s="55" t="s">
        <v>383</v>
      </c>
    </row>
    <row r="50" spans="2:10" ht="30" customHeight="1" x14ac:dyDescent="0.25">
      <c r="B50" s="310" t="s">
        <v>52</v>
      </c>
      <c r="C50" s="300"/>
      <c r="D50" s="311"/>
      <c r="E50" s="187" t="s">
        <v>121</v>
      </c>
      <c r="F50" s="144"/>
      <c r="G50" s="144">
        <v>100</v>
      </c>
      <c r="H50" s="147"/>
      <c r="I50" s="88">
        <v>0</v>
      </c>
      <c r="J50" s="143">
        <f>IF(H50="Fossil free", 0.01, 0.07)</f>
        <v>7.0000000000000007E-2</v>
      </c>
    </row>
    <row r="51" spans="2:10" ht="30" customHeight="1" x14ac:dyDescent="0.25">
      <c r="B51" s="307"/>
      <c r="C51" s="308"/>
      <c r="D51" s="309"/>
      <c r="E51" s="187" t="s">
        <v>122</v>
      </c>
      <c r="F51" s="144"/>
      <c r="G51" s="144">
        <v>100</v>
      </c>
      <c r="H51" s="147"/>
      <c r="I51" s="88">
        <v>20</v>
      </c>
      <c r="J51" s="143">
        <f t="shared" ref="J51:J63" si="0">IF(H51="Fossil free", 0.01, 0.07)</f>
        <v>7.0000000000000007E-2</v>
      </c>
    </row>
    <row r="52" spans="2:10" ht="30" customHeight="1" x14ac:dyDescent="0.25">
      <c r="B52" s="310" t="s">
        <v>251</v>
      </c>
      <c r="C52" s="300"/>
      <c r="D52" s="311"/>
      <c r="E52" s="187" t="s">
        <v>123</v>
      </c>
      <c r="F52" s="144"/>
      <c r="G52" s="144">
        <v>100</v>
      </c>
      <c r="H52" s="147"/>
      <c r="I52" s="88">
        <v>0</v>
      </c>
      <c r="J52" s="143">
        <f t="shared" si="0"/>
        <v>7.0000000000000007E-2</v>
      </c>
    </row>
    <row r="53" spans="2:10" ht="30" customHeight="1" x14ac:dyDescent="0.25">
      <c r="B53" s="307"/>
      <c r="C53" s="308"/>
      <c r="D53" s="309"/>
      <c r="E53" s="187" t="s">
        <v>124</v>
      </c>
      <c r="F53" s="144"/>
      <c r="G53" s="144">
        <v>100</v>
      </c>
      <c r="H53" s="147"/>
      <c r="I53" s="88">
        <v>1600</v>
      </c>
      <c r="J53" s="143">
        <f t="shared" si="0"/>
        <v>7.0000000000000007E-2</v>
      </c>
    </row>
    <row r="54" spans="2:10" ht="30" customHeight="1" x14ac:dyDescent="0.25">
      <c r="B54" s="325" t="s">
        <v>339</v>
      </c>
      <c r="C54" s="326"/>
      <c r="D54" s="327"/>
      <c r="E54" s="187" t="s">
        <v>124</v>
      </c>
      <c r="F54" s="144"/>
      <c r="G54" s="144">
        <v>100</v>
      </c>
      <c r="H54" s="147"/>
      <c r="I54" s="88">
        <v>420</v>
      </c>
      <c r="J54" s="143">
        <f t="shared" si="0"/>
        <v>7.0000000000000007E-2</v>
      </c>
    </row>
    <row r="55" spans="2:10" ht="30" customHeight="1" x14ac:dyDescent="0.25">
      <c r="B55" s="310" t="s">
        <v>351</v>
      </c>
      <c r="C55" s="300"/>
      <c r="D55" s="328"/>
      <c r="E55" s="187" t="s">
        <v>467</v>
      </c>
      <c r="F55" s="144"/>
      <c r="G55" s="144">
        <v>100</v>
      </c>
      <c r="H55" s="147"/>
      <c r="I55" s="88">
        <v>0</v>
      </c>
      <c r="J55" s="143">
        <f t="shared" si="0"/>
        <v>7.0000000000000007E-2</v>
      </c>
    </row>
    <row r="56" spans="2:10" ht="30" customHeight="1" x14ac:dyDescent="0.25">
      <c r="B56" s="304"/>
      <c r="C56" s="305"/>
      <c r="D56" s="329"/>
      <c r="E56" s="187" t="s">
        <v>124</v>
      </c>
      <c r="F56" s="144"/>
      <c r="G56" s="144">
        <v>100</v>
      </c>
      <c r="H56" s="147"/>
      <c r="I56" s="88">
        <v>124</v>
      </c>
      <c r="J56" s="143">
        <f t="shared" si="0"/>
        <v>7.0000000000000007E-2</v>
      </c>
    </row>
    <row r="57" spans="2:10" ht="30" customHeight="1" x14ac:dyDescent="0.25">
      <c r="B57" s="330"/>
      <c r="C57" s="331"/>
      <c r="D57" s="329"/>
      <c r="E57" s="187" t="s">
        <v>125</v>
      </c>
      <c r="F57" s="144"/>
      <c r="G57" s="144">
        <v>100</v>
      </c>
      <c r="H57" s="147"/>
      <c r="I57" s="88">
        <v>360</v>
      </c>
      <c r="J57" s="143">
        <f t="shared" si="0"/>
        <v>7.0000000000000007E-2</v>
      </c>
    </row>
    <row r="58" spans="2:10" ht="30" customHeight="1" x14ac:dyDescent="0.25">
      <c r="B58" s="330"/>
      <c r="C58" s="331"/>
      <c r="D58" s="329"/>
      <c r="E58" s="187" t="s">
        <v>126</v>
      </c>
      <c r="F58" s="144"/>
      <c r="G58" s="144">
        <v>100</v>
      </c>
      <c r="H58" s="147"/>
      <c r="I58" s="88">
        <v>360</v>
      </c>
      <c r="J58" s="143">
        <f t="shared" si="0"/>
        <v>7.0000000000000007E-2</v>
      </c>
    </row>
    <row r="59" spans="2:10" ht="30" customHeight="1" x14ac:dyDescent="0.25">
      <c r="B59" s="332"/>
      <c r="C59" s="333"/>
      <c r="D59" s="334"/>
      <c r="E59" s="187" t="s">
        <v>127</v>
      </c>
      <c r="F59" s="144"/>
      <c r="G59" s="144">
        <v>100</v>
      </c>
      <c r="H59" s="147"/>
      <c r="I59" s="88">
        <v>180</v>
      </c>
      <c r="J59" s="143">
        <f t="shared" si="0"/>
        <v>7.0000000000000007E-2</v>
      </c>
    </row>
    <row r="60" spans="2:10" ht="30" customHeight="1" x14ac:dyDescent="0.25">
      <c r="B60" s="304" t="s">
        <v>340</v>
      </c>
      <c r="C60" s="305"/>
      <c r="D60" s="306"/>
      <c r="E60" s="187" t="s">
        <v>121</v>
      </c>
      <c r="F60" s="144"/>
      <c r="G60" s="144">
        <v>100</v>
      </c>
      <c r="H60" s="147"/>
      <c r="I60" s="88">
        <v>0</v>
      </c>
      <c r="J60" s="143">
        <f t="shared" si="0"/>
        <v>7.0000000000000007E-2</v>
      </c>
    </row>
    <row r="61" spans="2:10" ht="30" customHeight="1" x14ac:dyDescent="0.25">
      <c r="B61" s="307"/>
      <c r="C61" s="308"/>
      <c r="D61" s="309"/>
      <c r="E61" s="187" t="s">
        <v>122</v>
      </c>
      <c r="F61" s="144"/>
      <c r="G61" s="144">
        <v>100</v>
      </c>
      <c r="H61" s="147"/>
      <c r="I61" s="88">
        <v>20</v>
      </c>
      <c r="J61" s="143">
        <f t="shared" si="0"/>
        <v>7.0000000000000007E-2</v>
      </c>
    </row>
    <row r="62" spans="2:10" ht="30" customHeight="1" x14ac:dyDescent="0.25">
      <c r="B62" s="310" t="s">
        <v>128</v>
      </c>
      <c r="C62" s="300"/>
      <c r="D62" s="311"/>
      <c r="E62" s="187" t="s">
        <v>121</v>
      </c>
      <c r="F62" s="144"/>
      <c r="G62" s="144">
        <v>100</v>
      </c>
      <c r="H62" s="147"/>
      <c r="I62" s="88">
        <v>0</v>
      </c>
      <c r="J62" s="143">
        <f t="shared" si="0"/>
        <v>7.0000000000000007E-2</v>
      </c>
    </row>
    <row r="63" spans="2:10" ht="30" customHeight="1" x14ac:dyDescent="0.25">
      <c r="B63" s="307"/>
      <c r="C63" s="308"/>
      <c r="D63" s="309"/>
      <c r="E63" s="187" t="s">
        <v>122</v>
      </c>
      <c r="F63" s="144"/>
      <c r="G63" s="144">
        <v>100</v>
      </c>
      <c r="H63" s="147"/>
      <c r="I63" s="88">
        <v>20</v>
      </c>
      <c r="J63" s="143">
        <f t="shared" si="0"/>
        <v>7.0000000000000007E-2</v>
      </c>
    </row>
    <row r="64" spans="2:10" ht="15" customHeight="1" x14ac:dyDescent="0.25">
      <c r="B64" s="321" t="s">
        <v>129</v>
      </c>
      <c r="C64" s="321"/>
      <c r="D64" s="321"/>
      <c r="E64" s="321"/>
      <c r="F64" s="321"/>
      <c r="G64" s="321"/>
      <c r="H64" s="321"/>
      <c r="I64" s="321"/>
      <c r="J64" s="321"/>
    </row>
    <row r="65" spans="2:10" ht="15" customHeight="1" x14ac:dyDescent="0.25">
      <c r="B65" s="313" t="s">
        <v>130</v>
      </c>
      <c r="C65" s="313"/>
      <c r="D65" s="313"/>
      <c r="E65" s="313"/>
      <c r="F65" s="313"/>
      <c r="G65" s="313"/>
      <c r="H65" s="313"/>
      <c r="I65" s="313"/>
      <c r="J65" s="313"/>
    </row>
    <row r="66" spans="2:10" ht="30" customHeight="1" x14ac:dyDescent="0.25">
      <c r="B66" s="163"/>
      <c r="C66" s="163"/>
      <c r="D66" s="163"/>
      <c r="E66" s="163"/>
      <c r="F66" s="163"/>
      <c r="G66" s="163"/>
      <c r="H66" s="163"/>
      <c r="I66" s="163"/>
      <c r="J66" s="163"/>
    </row>
    <row r="67" spans="2:10" ht="30" customHeight="1" x14ac:dyDescent="0.25">
      <c r="B67" s="298" t="s">
        <v>131</v>
      </c>
      <c r="C67" s="298"/>
      <c r="D67" s="298"/>
      <c r="E67" s="298"/>
      <c r="F67" s="298"/>
      <c r="G67" s="298"/>
      <c r="H67" s="298"/>
      <c r="I67" s="298"/>
      <c r="J67" s="298"/>
    </row>
    <row r="68" spans="2:10" ht="50.1" customHeight="1" x14ac:dyDescent="0.25">
      <c r="B68" s="312" t="s">
        <v>132</v>
      </c>
      <c r="C68" s="312"/>
      <c r="D68" s="312"/>
      <c r="E68" s="312"/>
      <c r="F68" s="312"/>
      <c r="G68" s="312"/>
      <c r="H68" s="312"/>
      <c r="I68" s="312"/>
      <c r="J68" s="312"/>
    </row>
    <row r="69" spans="2:10" ht="30" customHeight="1" x14ac:dyDescent="0.25">
      <c r="B69" s="244"/>
      <c r="C69" s="296" t="s">
        <v>468</v>
      </c>
      <c r="D69" s="296"/>
      <c r="E69" s="296"/>
      <c r="F69" s="86"/>
      <c r="G69" s="296" t="s">
        <v>343</v>
      </c>
      <c r="H69" s="296"/>
      <c r="I69" s="296"/>
    </row>
    <row r="70" spans="2:10" ht="50.1" customHeight="1" x14ac:dyDescent="0.25">
      <c r="B70" s="245"/>
      <c r="C70" s="297" t="s">
        <v>470</v>
      </c>
      <c r="D70" s="297"/>
      <c r="E70" s="297"/>
      <c r="F70" s="86"/>
      <c r="G70" s="295" t="s">
        <v>141</v>
      </c>
      <c r="H70" s="295"/>
      <c r="I70" s="295"/>
    </row>
    <row r="71" spans="2:10" ht="9" customHeight="1" x14ac:dyDescent="0.25">
      <c r="B71" s="245"/>
      <c r="C71" s="246"/>
      <c r="D71" s="246"/>
      <c r="E71" s="246"/>
      <c r="F71" s="238"/>
      <c r="G71" s="247"/>
      <c r="H71" s="247"/>
      <c r="I71" s="247"/>
    </row>
    <row r="72" spans="2:10" ht="30" customHeight="1" x14ac:dyDescent="0.25">
      <c r="C72" s="132" t="s">
        <v>135</v>
      </c>
      <c r="D72" s="173"/>
      <c r="E72" s="129" t="s">
        <v>133</v>
      </c>
      <c r="F72" s="86"/>
      <c r="H72" s="131" t="s">
        <v>381</v>
      </c>
    </row>
    <row r="73" spans="2:10" ht="30" customHeight="1" x14ac:dyDescent="0.25">
      <c r="C73" s="183"/>
      <c r="E73" s="182"/>
      <c r="F73" s="86"/>
      <c r="G73" s="132" t="s">
        <v>469</v>
      </c>
      <c r="H73" s="154"/>
      <c r="I73" s="184" t="s">
        <v>134</v>
      </c>
    </row>
    <row r="74" spans="2:10" ht="30" customHeight="1" x14ac:dyDescent="0.25">
      <c r="C74" s="132" t="s">
        <v>136</v>
      </c>
      <c r="D74" s="173"/>
      <c r="E74" s="129" t="s">
        <v>53</v>
      </c>
      <c r="F74" s="86"/>
    </row>
    <row r="75" spans="2:10" ht="30" customHeight="1" x14ac:dyDescent="0.25">
      <c r="C75" s="177" t="s">
        <v>137</v>
      </c>
      <c r="D75" s="141">
        <f>(('Enter data here'!D74/100)*0.7)/References!C83*100</f>
        <v>0</v>
      </c>
      <c r="E75" s="129" t="s">
        <v>53</v>
      </c>
      <c r="F75" s="86"/>
      <c r="G75" s="77" t="s">
        <v>273</v>
      </c>
      <c r="H75" s="162" t="s">
        <v>344</v>
      </c>
      <c r="I75" s="162" t="s">
        <v>72</v>
      </c>
    </row>
    <row r="76" spans="2:10" ht="30" customHeight="1" x14ac:dyDescent="0.25">
      <c r="C76" s="106"/>
      <c r="E76" s="106"/>
      <c r="F76" s="86"/>
      <c r="G76" s="98" t="s">
        <v>142</v>
      </c>
      <c r="H76" s="174"/>
      <c r="I76" s="161">
        <v>4.8999999999999998E-3</v>
      </c>
    </row>
    <row r="77" spans="2:10" ht="30" customHeight="1" x14ac:dyDescent="0.25">
      <c r="C77" s="86"/>
      <c r="D77" s="131" t="s">
        <v>139</v>
      </c>
      <c r="E77" s="106"/>
      <c r="F77" s="86"/>
      <c r="G77" s="98" t="s">
        <v>143</v>
      </c>
      <c r="H77" s="144"/>
      <c r="I77" s="160">
        <v>4.8999999999999998E-3</v>
      </c>
    </row>
    <row r="78" spans="2:10" ht="30" customHeight="1" x14ac:dyDescent="0.25">
      <c r="C78" s="132" t="s">
        <v>138</v>
      </c>
      <c r="D78" s="154"/>
      <c r="E78" s="129" t="s">
        <v>134</v>
      </c>
      <c r="F78" s="86"/>
      <c r="G78" s="98" t="s">
        <v>144</v>
      </c>
      <c r="H78" s="173"/>
      <c r="I78" s="160">
        <v>2.9999999999999997E-4</v>
      </c>
    </row>
    <row r="79" spans="2:10" ht="30" customHeight="1" x14ac:dyDescent="0.25">
      <c r="C79" s="132"/>
      <c r="D79" s="131" t="s">
        <v>140</v>
      </c>
      <c r="E79" s="106"/>
      <c r="F79" s="86"/>
      <c r="G79" s="98" t="s">
        <v>145</v>
      </c>
      <c r="H79" s="144"/>
      <c r="I79" s="159">
        <v>0.02</v>
      </c>
    </row>
    <row r="80" spans="2:10" ht="30" customHeight="1" x14ac:dyDescent="0.25">
      <c r="C80" s="132" t="s">
        <v>138</v>
      </c>
      <c r="D80" s="88">
        <f>D72*(D75/100)*References!C83*(References!C84/100)</f>
        <v>0</v>
      </c>
      <c r="E80" s="129" t="s">
        <v>134</v>
      </c>
      <c r="F80" s="86"/>
      <c r="G80" s="98" t="s">
        <v>146</v>
      </c>
      <c r="H80" s="173"/>
      <c r="I80" s="158">
        <v>1</v>
      </c>
    </row>
    <row r="81" spans="2:16" ht="30" customHeight="1" x14ac:dyDescent="0.25">
      <c r="B81" s="86"/>
      <c r="C81" s="238"/>
      <c r="D81" s="86"/>
      <c r="E81" s="86"/>
      <c r="F81" s="86"/>
      <c r="G81" s="38"/>
      <c r="H81" s="38"/>
      <c r="I81" s="41"/>
      <c r="J81" s="41"/>
    </row>
    <row r="82" spans="2:16" ht="30" customHeight="1" x14ac:dyDescent="0.25">
      <c r="B82" s="298" t="s">
        <v>345</v>
      </c>
      <c r="C82" s="298"/>
      <c r="D82" s="298"/>
      <c r="E82" s="298"/>
      <c r="F82" s="298"/>
      <c r="G82" s="298"/>
      <c r="H82" s="298"/>
      <c r="I82" s="298"/>
      <c r="J82" s="298"/>
    </row>
    <row r="83" spans="2:16" ht="60" customHeight="1" x14ac:dyDescent="0.25">
      <c r="B83" s="275" t="s">
        <v>147</v>
      </c>
      <c r="C83" s="275"/>
      <c r="D83" s="275"/>
      <c r="E83" s="275"/>
      <c r="F83" s="275"/>
      <c r="G83" s="275"/>
      <c r="H83" s="275"/>
      <c r="I83" s="275"/>
      <c r="J83" s="275"/>
    </row>
    <row r="84" spans="2:16" ht="30" customHeight="1" x14ac:dyDescent="0.25">
      <c r="C84" s="296" t="s">
        <v>341</v>
      </c>
      <c r="D84" s="296"/>
      <c r="E84" s="296"/>
      <c r="F84" s="97"/>
      <c r="G84" s="298" t="s">
        <v>342</v>
      </c>
      <c r="H84" s="298"/>
      <c r="I84" s="298"/>
    </row>
    <row r="85" spans="2:16" ht="60" customHeight="1" x14ac:dyDescent="0.25">
      <c r="C85" s="294" t="s">
        <v>471</v>
      </c>
      <c r="D85" s="294"/>
      <c r="E85" s="294"/>
      <c r="G85" s="295" t="s">
        <v>530</v>
      </c>
      <c r="H85" s="295"/>
      <c r="I85" s="295"/>
    </row>
    <row r="86" spans="2:16" ht="30" customHeight="1" x14ac:dyDescent="0.25">
      <c r="D86" s="131" t="s">
        <v>139</v>
      </c>
      <c r="F86" s="101"/>
      <c r="G86" s="249"/>
      <c r="H86" s="249"/>
      <c r="I86" s="249"/>
    </row>
    <row r="87" spans="2:16" ht="30" customHeight="1" x14ac:dyDescent="0.25">
      <c r="C87" s="132" t="s">
        <v>149</v>
      </c>
      <c r="D87" s="173"/>
      <c r="E87" s="129" t="s">
        <v>134</v>
      </c>
      <c r="G87" s="177" t="s">
        <v>151</v>
      </c>
      <c r="H87" s="154"/>
      <c r="I87" s="155" t="s">
        <v>53</v>
      </c>
    </row>
    <row r="88" spans="2:16" ht="30" customHeight="1" x14ac:dyDescent="0.25">
      <c r="C88" s="99"/>
      <c r="D88" s="131" t="s">
        <v>140</v>
      </c>
      <c r="E88" s="106"/>
    </row>
    <row r="89" spans="2:16" ht="30" customHeight="1" x14ac:dyDescent="0.25">
      <c r="C89" s="132" t="s">
        <v>148</v>
      </c>
      <c r="D89" s="173"/>
      <c r="E89" s="129" t="s">
        <v>150</v>
      </c>
      <c r="G89" s="87"/>
      <c r="H89" s="131" t="s">
        <v>139</v>
      </c>
      <c r="I89" s="87"/>
      <c r="O89" s="68"/>
      <c r="P89" s="83"/>
    </row>
    <row r="90" spans="2:16" ht="30" customHeight="1" x14ac:dyDescent="0.25">
      <c r="B90" s="86"/>
      <c r="C90" s="132" t="s">
        <v>149</v>
      </c>
      <c r="D90" s="113">
        <f>D89*References!C78</f>
        <v>0</v>
      </c>
      <c r="E90" s="129" t="s">
        <v>134</v>
      </c>
      <c r="G90" s="132" t="s">
        <v>152</v>
      </c>
      <c r="H90" s="154"/>
      <c r="I90" s="129" t="s">
        <v>134</v>
      </c>
      <c r="O90" s="68"/>
      <c r="P90" s="83"/>
    </row>
    <row r="91" spans="2:16" ht="30" customHeight="1" x14ac:dyDescent="0.25">
      <c r="G91" s="135" t="s">
        <v>153</v>
      </c>
      <c r="H91" s="144"/>
      <c r="I91" s="129" t="s">
        <v>154</v>
      </c>
      <c r="O91" s="63"/>
      <c r="P91" s="70"/>
    </row>
    <row r="92" spans="2:16" ht="30" customHeight="1" x14ac:dyDescent="0.25">
      <c r="F92" s="105"/>
      <c r="G92" s="87"/>
      <c r="H92" s="131" t="s">
        <v>140</v>
      </c>
      <c r="I92" s="180"/>
      <c r="O92" s="63"/>
      <c r="P92" s="70"/>
    </row>
    <row r="93" spans="2:16" s="87" customFormat="1" ht="30" customHeight="1" x14ac:dyDescent="0.25">
      <c r="C93" s="296" t="s">
        <v>346</v>
      </c>
      <c r="D93" s="296"/>
      <c r="E93" s="296"/>
      <c r="G93" s="132" t="s">
        <v>155</v>
      </c>
      <c r="H93" s="173"/>
      <c r="I93" s="129" t="s">
        <v>168</v>
      </c>
      <c r="O93" s="64"/>
      <c r="P93" s="70"/>
    </row>
    <row r="94" spans="2:16" s="87" customFormat="1" ht="30" customHeight="1" x14ac:dyDescent="0.25">
      <c r="C94" s="275" t="s">
        <v>472</v>
      </c>
      <c r="D94" s="316"/>
      <c r="E94" s="316"/>
      <c r="G94" s="132" t="s">
        <v>152</v>
      </c>
      <c r="H94" s="113">
        <f>H93*References!C85*(H87/100)</f>
        <v>0</v>
      </c>
      <c r="I94" s="129" t="s">
        <v>134</v>
      </c>
      <c r="O94" s="74"/>
      <c r="P94" s="70"/>
    </row>
    <row r="95" spans="2:16" s="87" customFormat="1" ht="30" customHeight="1" x14ac:dyDescent="0.25">
      <c r="B95"/>
      <c r="C95" s="317"/>
      <c r="D95" s="317"/>
      <c r="E95" s="317"/>
      <c r="O95" s="74"/>
      <c r="P95" s="70"/>
    </row>
    <row r="96" spans="2:16" s="87" customFormat="1" ht="30" customHeight="1" x14ac:dyDescent="0.25">
      <c r="C96"/>
      <c r="D96" s="131" t="s">
        <v>139</v>
      </c>
      <c r="E96"/>
      <c r="F96"/>
      <c r="O96" s="74"/>
      <c r="P96" s="70"/>
    </row>
    <row r="97" spans="2:16" s="87" customFormat="1" ht="30" customHeight="1" x14ac:dyDescent="0.25">
      <c r="C97" s="132" t="s">
        <v>156</v>
      </c>
      <c r="D97" s="173"/>
      <c r="E97" s="129" t="s">
        <v>154</v>
      </c>
      <c r="F97"/>
      <c r="G97" s="296" t="s">
        <v>348</v>
      </c>
      <c r="H97" s="296"/>
      <c r="I97" s="296"/>
      <c r="O97" s="74"/>
      <c r="P97" s="70"/>
    </row>
    <row r="98" spans="2:16" s="87" customFormat="1" ht="30" customHeight="1" x14ac:dyDescent="0.25">
      <c r="C98" s="99"/>
      <c r="D98" s="131" t="s">
        <v>140</v>
      </c>
      <c r="E98" s="106"/>
      <c r="G98" s="300" t="s">
        <v>476</v>
      </c>
      <c r="H98" s="300"/>
      <c r="I98" s="300"/>
      <c r="O98" s="74"/>
      <c r="P98" s="70"/>
    </row>
    <row r="99" spans="2:16" s="87" customFormat="1" ht="30" customHeight="1" x14ac:dyDescent="0.25">
      <c r="C99" s="132" t="s">
        <v>474</v>
      </c>
      <c r="D99" s="173"/>
      <c r="E99" s="129" t="s">
        <v>475</v>
      </c>
      <c r="G99" s="250"/>
      <c r="H99" s="250"/>
      <c r="I99" s="250"/>
      <c r="O99" s="74"/>
      <c r="P99" s="70"/>
    </row>
    <row r="100" spans="2:16" s="87" customFormat="1" ht="30" customHeight="1" x14ac:dyDescent="0.25">
      <c r="C100" s="132" t="s">
        <v>156</v>
      </c>
      <c r="D100" s="243">
        <f>D99*References!C79</f>
        <v>0</v>
      </c>
      <c r="E100" s="129" t="s">
        <v>154</v>
      </c>
      <c r="G100" s="136" t="s">
        <v>165</v>
      </c>
      <c r="H100" s="144"/>
      <c r="I100" s="181" t="s">
        <v>167</v>
      </c>
      <c r="O100" s="74"/>
      <c r="P100" s="70"/>
    </row>
    <row r="101" spans="2:16" s="87" customFormat="1" ht="30" customHeight="1" x14ac:dyDescent="0.25">
      <c r="G101" s="132" t="s">
        <v>166</v>
      </c>
      <c r="H101" s="154"/>
      <c r="I101" s="129" t="s">
        <v>162</v>
      </c>
      <c r="O101" s="74"/>
      <c r="P101" s="70"/>
    </row>
    <row r="102" spans="2:16" s="87" customFormat="1" ht="30" customHeight="1" x14ac:dyDescent="0.25">
      <c r="C102" s="301" t="s">
        <v>473</v>
      </c>
      <c r="D102" s="302"/>
      <c r="E102" s="302"/>
      <c r="O102" s="74"/>
      <c r="P102" s="70"/>
    </row>
    <row r="103" spans="2:16" s="87" customFormat="1" ht="30" customHeight="1" x14ac:dyDescent="0.25">
      <c r="C103" s="303"/>
      <c r="D103" s="303"/>
      <c r="E103" s="303"/>
      <c r="G103"/>
      <c r="H103" s="139" t="s">
        <v>169</v>
      </c>
      <c r="I103"/>
      <c r="O103" s="74"/>
      <c r="P103" s="70"/>
    </row>
    <row r="104" spans="2:16" s="87" customFormat="1" ht="30" customHeight="1" x14ac:dyDescent="0.25">
      <c r="C104" s="132" t="s">
        <v>156</v>
      </c>
      <c r="D104" s="243">
        <f>H8*References!C80</f>
        <v>0</v>
      </c>
      <c r="E104" s="129" t="s">
        <v>154</v>
      </c>
      <c r="G104"/>
      <c r="H104" s="131"/>
      <c r="I104"/>
      <c r="O104" s="74"/>
      <c r="P104" s="70"/>
    </row>
    <row r="105" spans="2:16" s="87" customFormat="1" ht="30" customHeight="1" x14ac:dyDescent="0.25">
      <c r="F105" s="106"/>
      <c r="G105" s="132" t="s">
        <v>170</v>
      </c>
      <c r="H105" s="88">
        <f>H100*References!C86</f>
        <v>0</v>
      </c>
      <c r="I105" s="129" t="s">
        <v>134</v>
      </c>
      <c r="O105" s="74"/>
      <c r="P105" s="70"/>
    </row>
    <row r="106" spans="2:16" s="87" customFormat="1" ht="32.25" customHeight="1" x14ac:dyDescent="0.25">
      <c r="G106" s="132" t="s">
        <v>171</v>
      </c>
      <c r="H106" s="88">
        <f>H101*References!C87</f>
        <v>0</v>
      </c>
      <c r="I106" s="129" t="s">
        <v>154</v>
      </c>
      <c r="O106" s="74"/>
      <c r="P106" s="70"/>
    </row>
    <row r="107" spans="2:16" s="87" customFormat="1" ht="30" customHeight="1" x14ac:dyDescent="0.25">
      <c r="C107" s="296" t="s">
        <v>347</v>
      </c>
      <c r="D107" s="296"/>
      <c r="E107" s="296"/>
      <c r="O107" s="74"/>
      <c r="P107" s="70"/>
    </row>
    <row r="108" spans="2:16" s="87" customFormat="1" ht="39.950000000000003" customHeight="1" x14ac:dyDescent="0.25">
      <c r="C108" s="299" t="s">
        <v>157</v>
      </c>
      <c r="D108" s="299"/>
      <c r="E108" s="299"/>
      <c r="O108" s="74"/>
      <c r="P108" s="70"/>
    </row>
    <row r="109" spans="2:16" s="87" customFormat="1" ht="30" customHeight="1" x14ac:dyDescent="0.25">
      <c r="B109" s="248"/>
      <c r="C109" s="133"/>
      <c r="D109" s="131" t="s">
        <v>139</v>
      </c>
      <c r="E109" s="133"/>
      <c r="O109" s="74"/>
      <c r="P109" s="70"/>
    </row>
    <row r="110" spans="2:16" s="87" customFormat="1" ht="30" customHeight="1" x14ac:dyDescent="0.25">
      <c r="B110" s="133"/>
      <c r="C110" s="132" t="s">
        <v>158</v>
      </c>
      <c r="D110" s="173"/>
      <c r="E110" s="129" t="s">
        <v>154</v>
      </c>
      <c r="G110"/>
      <c r="O110" s="74"/>
      <c r="P110" s="70"/>
    </row>
    <row r="111" spans="2:16" s="87" customFormat="1" ht="30.75" customHeight="1" x14ac:dyDescent="0.25">
      <c r="E111" s="180"/>
      <c r="G111"/>
      <c r="O111" s="74"/>
      <c r="P111" s="70"/>
    </row>
    <row r="112" spans="2:16" s="87" customFormat="1" ht="30" customHeight="1" x14ac:dyDescent="0.25">
      <c r="D112" s="139" t="s">
        <v>159</v>
      </c>
      <c r="E112" s="180"/>
      <c r="G112"/>
      <c r="O112" s="74"/>
      <c r="P112" s="70"/>
    </row>
    <row r="113" spans="2:16" s="87" customFormat="1" ht="30" customHeight="1" x14ac:dyDescent="0.25">
      <c r="C113" s="100"/>
      <c r="D113" s="131" t="s">
        <v>140</v>
      </c>
      <c r="E113" s="180"/>
      <c r="F113"/>
      <c r="G113"/>
      <c r="O113" s="74"/>
      <c r="P113" s="70"/>
    </row>
    <row r="114" spans="2:16" s="87" customFormat="1" ht="30" customHeight="1" x14ac:dyDescent="0.25">
      <c r="C114" s="132" t="s">
        <v>160</v>
      </c>
      <c r="D114" s="154"/>
      <c r="E114" s="129" t="s">
        <v>162</v>
      </c>
      <c r="F114"/>
      <c r="G114"/>
      <c r="O114" s="74"/>
      <c r="P114" s="239"/>
    </row>
    <row r="115" spans="2:16" s="87" customFormat="1" ht="30" customHeight="1" x14ac:dyDescent="0.25">
      <c r="C115" s="132" t="s">
        <v>161</v>
      </c>
      <c r="D115" s="88">
        <f>D114*References!C81</f>
        <v>0</v>
      </c>
      <c r="E115" s="129" t="s">
        <v>154</v>
      </c>
      <c r="F115"/>
      <c r="G115"/>
      <c r="O115" s="74"/>
      <c r="P115" s="239"/>
    </row>
    <row r="116" spans="2:16" s="87" customFormat="1" ht="30" customHeight="1" x14ac:dyDescent="0.25">
      <c r="E116" s="180"/>
      <c r="F116"/>
      <c r="G116"/>
      <c r="O116" s="74"/>
      <c r="P116" s="239"/>
    </row>
    <row r="117" spans="2:16" s="87" customFormat="1" ht="30" customHeight="1" x14ac:dyDescent="0.25">
      <c r="D117" s="139" t="s">
        <v>163</v>
      </c>
      <c r="E117" s="180"/>
      <c r="F117"/>
      <c r="G117"/>
      <c r="O117" s="74"/>
      <c r="P117" s="239"/>
    </row>
    <row r="118" spans="2:16" s="87" customFormat="1" ht="30" customHeight="1" x14ac:dyDescent="0.25">
      <c r="C118" s="100"/>
      <c r="D118" s="131" t="s">
        <v>140</v>
      </c>
      <c r="E118" s="180"/>
      <c r="F118"/>
      <c r="G118"/>
      <c r="O118" s="74"/>
      <c r="P118" s="239"/>
    </row>
    <row r="119" spans="2:16" s="87" customFormat="1" ht="30" customHeight="1" x14ac:dyDescent="0.25">
      <c r="C119" s="132" t="s">
        <v>160</v>
      </c>
      <c r="D119" s="154"/>
      <c r="E119" s="129" t="s">
        <v>162</v>
      </c>
      <c r="F119"/>
      <c r="G119"/>
      <c r="O119" s="74"/>
      <c r="P119" s="239"/>
    </row>
    <row r="120" spans="2:16" s="87" customFormat="1" ht="30" customHeight="1" x14ac:dyDescent="0.25">
      <c r="C120" s="132" t="s">
        <v>164</v>
      </c>
      <c r="D120" s="88">
        <f>D119*References!C82</f>
        <v>0</v>
      </c>
      <c r="E120" s="129" t="s">
        <v>154</v>
      </c>
      <c r="F120"/>
      <c r="G120"/>
      <c r="O120" s="74"/>
      <c r="P120" s="239"/>
    </row>
    <row r="121" spans="2:16" s="87" customFormat="1" ht="30" customHeight="1" x14ac:dyDescent="0.25">
      <c r="F121"/>
      <c r="G121"/>
      <c r="O121" s="74"/>
      <c r="P121" s="239"/>
    </row>
    <row r="122" spans="2:16" s="87" customFormat="1" ht="30" customHeight="1" x14ac:dyDescent="0.25">
      <c r="B122" s="132"/>
      <c r="C122" s="132"/>
      <c r="D122" s="233"/>
      <c r="E122" s="129"/>
      <c r="F122"/>
      <c r="G122"/>
      <c r="O122" s="74"/>
      <c r="P122" s="242"/>
    </row>
    <row r="123" spans="2:16" s="87" customFormat="1" ht="30" hidden="1" customHeight="1" x14ac:dyDescent="0.25">
      <c r="G123"/>
    </row>
    <row r="124" spans="2:16" s="87" customFormat="1" ht="30" hidden="1" customHeight="1" x14ac:dyDescent="0.25">
      <c r="G124"/>
    </row>
    <row r="125" spans="2:16" s="87" customFormat="1" ht="30" hidden="1" customHeight="1" x14ac:dyDescent="0.25">
      <c r="G125"/>
    </row>
    <row r="126" spans="2:16" s="87" customFormat="1" ht="30" hidden="1" customHeight="1" x14ac:dyDescent="0.25">
      <c r="G126"/>
    </row>
    <row r="127" spans="2:16" s="87" customFormat="1" ht="30" hidden="1" customHeight="1" x14ac:dyDescent="0.25">
      <c r="E127" s="28"/>
      <c r="G127"/>
    </row>
    <row r="128" spans="2:16" ht="30" hidden="1" customHeight="1" x14ac:dyDescent="0.25"/>
    <row r="129" ht="30" hidden="1" customHeight="1" x14ac:dyDescent="0.25"/>
    <row r="130" ht="30" hidden="1" customHeight="1" x14ac:dyDescent="0.25"/>
  </sheetData>
  <sheetProtection sheet="1" objects="1" scenarios="1"/>
  <mergeCells count="40">
    <mergeCell ref="C93:E93"/>
    <mergeCell ref="C94:E95"/>
    <mergeCell ref="C6:E6"/>
    <mergeCell ref="D29:G29"/>
    <mergeCell ref="D30:G30"/>
    <mergeCell ref="G69:I69"/>
    <mergeCell ref="B32:J32"/>
    <mergeCell ref="B33:J33"/>
    <mergeCell ref="B46:J46"/>
    <mergeCell ref="B47:J47"/>
    <mergeCell ref="B64:J64"/>
    <mergeCell ref="B49:D49"/>
    <mergeCell ref="B52:D53"/>
    <mergeCell ref="B54:D54"/>
    <mergeCell ref="B55:D59"/>
    <mergeCell ref="B62:D63"/>
    <mergeCell ref="B3:J3"/>
    <mergeCell ref="B4:J4"/>
    <mergeCell ref="B10:J10"/>
    <mergeCell ref="B11:J11"/>
    <mergeCell ref="G6:I6"/>
    <mergeCell ref="B60:D61"/>
    <mergeCell ref="B50:D51"/>
    <mergeCell ref="B67:J67"/>
    <mergeCell ref="B68:J68"/>
    <mergeCell ref="B65:J65"/>
    <mergeCell ref="C107:E107"/>
    <mergeCell ref="C108:E108"/>
    <mergeCell ref="G98:I98"/>
    <mergeCell ref="G97:I97"/>
    <mergeCell ref="C102:E103"/>
    <mergeCell ref="C85:E85"/>
    <mergeCell ref="G70:I70"/>
    <mergeCell ref="C69:E69"/>
    <mergeCell ref="C70:E70"/>
    <mergeCell ref="C84:E84"/>
    <mergeCell ref="G84:I84"/>
    <mergeCell ref="B82:J82"/>
    <mergeCell ref="B83:J83"/>
    <mergeCell ref="G85:I85"/>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H50:H63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3"/>
  <sheetViews>
    <sheetView showGridLines="0" topLeftCell="A2" zoomScale="80" zoomScaleNormal="80" workbookViewId="0">
      <selection activeCell="B3" sqref="B3:I3"/>
    </sheetView>
  </sheetViews>
  <sheetFormatPr defaultColWidth="0" defaultRowHeight="0" customHeight="1" zeroHeight="1" x14ac:dyDescent="0.25"/>
  <cols>
    <col min="1" max="1" width="8.7109375" customWidth="1"/>
    <col min="2" max="3" width="25.7109375" customWidth="1"/>
    <col min="4" max="4" width="27.140625" customWidth="1"/>
    <col min="5"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72" t="s">
        <v>117</v>
      </c>
      <c r="C3" s="272"/>
      <c r="D3" s="272"/>
      <c r="E3" s="272"/>
      <c r="F3" s="272"/>
      <c r="G3" s="272"/>
      <c r="H3" s="272"/>
      <c r="I3" s="272"/>
    </row>
    <row r="4" spans="1:9" ht="33" customHeight="1" x14ac:dyDescent="0.25">
      <c r="B4" s="314" t="s">
        <v>95</v>
      </c>
      <c r="C4" s="314"/>
      <c r="D4" s="274"/>
      <c r="E4" s="274"/>
      <c r="F4" s="274"/>
      <c r="G4" s="274"/>
      <c r="H4" s="274"/>
      <c r="I4" s="274"/>
    </row>
    <row r="5" spans="1:9" ht="33" customHeight="1" x14ac:dyDescent="0.25">
      <c r="B5" s="66"/>
      <c r="C5" s="66"/>
      <c r="D5" s="66"/>
      <c r="E5" s="66"/>
      <c r="F5" s="66"/>
      <c r="G5" s="66"/>
      <c r="H5" s="66"/>
      <c r="I5" s="66"/>
    </row>
    <row r="6" spans="1:9" ht="33" customHeight="1" x14ac:dyDescent="0.25">
      <c r="B6" s="278" t="s">
        <v>391</v>
      </c>
      <c r="C6" s="278"/>
      <c r="D6" s="278"/>
      <c r="E6" s="278"/>
      <c r="F6" s="278"/>
      <c r="G6" s="278"/>
      <c r="H6" s="278"/>
      <c r="I6" s="278"/>
    </row>
    <row r="7" spans="1:9" ht="60" customHeight="1" x14ac:dyDescent="0.25">
      <c r="A7" s="23"/>
      <c r="B7" s="277" t="s">
        <v>395</v>
      </c>
      <c r="C7" s="277"/>
      <c r="D7" s="277"/>
      <c r="E7" s="277"/>
      <c r="F7" s="277"/>
      <c r="G7" s="277"/>
      <c r="H7" s="277"/>
      <c r="I7" s="277"/>
    </row>
    <row r="8" spans="1:9" ht="20.100000000000001" customHeight="1" x14ac:dyDescent="0.25">
      <c r="B8" s="64"/>
      <c r="C8" s="64"/>
      <c r="D8" s="64"/>
      <c r="E8" s="53"/>
      <c r="F8" s="53"/>
      <c r="G8" s="64"/>
      <c r="H8" s="64"/>
      <c r="I8" s="64"/>
    </row>
    <row r="9" spans="1:9" ht="60" customHeight="1" x14ac:dyDescent="0.25">
      <c r="C9" s="54" t="s">
        <v>172</v>
      </c>
      <c r="D9" s="55" t="s">
        <v>385</v>
      </c>
      <c r="E9" s="55" t="s">
        <v>173</v>
      </c>
      <c r="F9" s="55" t="s">
        <v>120</v>
      </c>
      <c r="G9" s="55" t="s">
        <v>389</v>
      </c>
      <c r="H9" s="55" t="s">
        <v>390</v>
      </c>
      <c r="I9" s="55" t="s">
        <v>386</v>
      </c>
    </row>
    <row r="10" spans="1:9" ht="30" customHeight="1" x14ac:dyDescent="0.25">
      <c r="C10" s="98" t="s">
        <v>174</v>
      </c>
      <c r="D10" s="144"/>
      <c r="E10" s="144">
        <v>300</v>
      </c>
      <c r="F10" s="147"/>
      <c r="G10" s="88">
        <v>800</v>
      </c>
      <c r="H10" s="88">
        <v>1400</v>
      </c>
      <c r="I10" s="143">
        <f>IF(F10="Fossil free", 0.01, 0.07)</f>
        <v>7.0000000000000007E-2</v>
      </c>
    </row>
    <row r="11" spans="1:9" ht="30" customHeight="1" x14ac:dyDescent="0.25">
      <c r="C11" s="98" t="s">
        <v>175</v>
      </c>
      <c r="D11" s="144"/>
      <c r="E11" s="144">
        <v>300</v>
      </c>
      <c r="F11" s="147"/>
      <c r="G11" s="88">
        <v>760</v>
      </c>
      <c r="H11" s="88">
        <v>0</v>
      </c>
      <c r="I11" s="143">
        <f t="shared" ref="I11:I17" si="0">IF(F11="Fossil free", 0.01, 0.07)</f>
        <v>7.0000000000000007E-2</v>
      </c>
    </row>
    <row r="12" spans="1:9" ht="30" customHeight="1" x14ac:dyDescent="0.25">
      <c r="C12" s="98" t="s">
        <v>176</v>
      </c>
      <c r="D12" s="144"/>
      <c r="E12" s="144">
        <v>300</v>
      </c>
      <c r="F12" s="147"/>
      <c r="G12" s="88">
        <v>2000</v>
      </c>
      <c r="H12" s="141">
        <v>1900</v>
      </c>
      <c r="I12" s="143">
        <f t="shared" si="0"/>
        <v>7.0000000000000007E-2</v>
      </c>
    </row>
    <row r="13" spans="1:9" ht="30" customHeight="1" x14ac:dyDescent="0.25">
      <c r="C13" s="98" t="s">
        <v>177</v>
      </c>
      <c r="D13" s="144"/>
      <c r="E13" s="144">
        <v>300</v>
      </c>
      <c r="F13" s="147"/>
      <c r="G13" s="88">
        <v>1100</v>
      </c>
      <c r="H13" s="141">
        <v>0</v>
      </c>
      <c r="I13" s="143">
        <f t="shared" si="0"/>
        <v>7.0000000000000007E-2</v>
      </c>
    </row>
    <row r="14" spans="1:9" ht="30" customHeight="1" x14ac:dyDescent="0.25">
      <c r="C14" s="98" t="s">
        <v>54</v>
      </c>
      <c r="D14" s="144"/>
      <c r="E14" s="144">
        <v>300</v>
      </c>
      <c r="F14" s="147"/>
      <c r="G14" s="88">
        <v>2000</v>
      </c>
      <c r="H14" s="141">
        <v>2200</v>
      </c>
      <c r="I14" s="143">
        <f t="shared" si="0"/>
        <v>7.0000000000000007E-2</v>
      </c>
    </row>
    <row r="15" spans="1:9" ht="30" customHeight="1" x14ac:dyDescent="0.25">
      <c r="C15" s="98" t="s">
        <v>431</v>
      </c>
      <c r="D15" s="144"/>
      <c r="E15" s="144">
        <v>300</v>
      </c>
      <c r="F15" s="147"/>
      <c r="G15" s="88">
        <v>342</v>
      </c>
      <c r="H15" s="225">
        <v>0</v>
      </c>
      <c r="I15" s="143">
        <f t="shared" si="0"/>
        <v>7.0000000000000007E-2</v>
      </c>
    </row>
    <row r="16" spans="1:9" ht="30" customHeight="1" x14ac:dyDescent="0.25">
      <c r="C16" s="149" t="s">
        <v>101</v>
      </c>
      <c r="D16" s="154"/>
      <c r="E16" s="144">
        <v>300</v>
      </c>
      <c r="F16" s="147"/>
      <c r="G16" s="144"/>
      <c r="H16" s="144"/>
      <c r="I16" s="143">
        <f t="shared" si="0"/>
        <v>7.0000000000000007E-2</v>
      </c>
    </row>
    <row r="17" spans="2:13" ht="30" customHeight="1" x14ac:dyDescent="0.25">
      <c r="C17" s="149" t="s">
        <v>101</v>
      </c>
      <c r="D17" s="154"/>
      <c r="E17" s="144">
        <v>300</v>
      </c>
      <c r="F17" s="147"/>
      <c r="G17" s="144"/>
      <c r="H17" s="144"/>
      <c r="I17" s="143">
        <f t="shared" si="0"/>
        <v>7.0000000000000007E-2</v>
      </c>
    </row>
    <row r="18" spans="2:13" ht="30" customHeight="1" x14ac:dyDescent="0.25">
      <c r="D18" s="66"/>
      <c r="E18" s="66"/>
      <c r="F18" s="25"/>
      <c r="G18" s="63"/>
      <c r="H18" s="28"/>
      <c r="I18" s="28"/>
      <c r="K18" s="63"/>
      <c r="L18" s="70"/>
      <c r="M18" s="70"/>
    </row>
    <row r="19" spans="2:13" ht="30" customHeight="1" x14ac:dyDescent="0.25">
      <c r="B19" s="278" t="s">
        <v>392</v>
      </c>
      <c r="C19" s="278"/>
      <c r="D19" s="278"/>
      <c r="E19" s="278"/>
      <c r="F19" s="278"/>
      <c r="G19" s="278"/>
      <c r="H19" s="278"/>
      <c r="I19" s="278"/>
      <c r="K19" s="63"/>
      <c r="L19" s="70"/>
      <c r="M19" s="70"/>
    </row>
    <row r="20" spans="2:13" ht="50.1" customHeight="1" x14ac:dyDescent="0.25">
      <c r="B20" s="277" t="s">
        <v>394</v>
      </c>
      <c r="C20" s="277"/>
      <c r="D20" s="277"/>
      <c r="E20" s="277"/>
      <c r="F20" s="277"/>
      <c r="G20" s="277"/>
      <c r="H20" s="277"/>
      <c r="I20" s="277"/>
      <c r="K20" s="63"/>
      <c r="L20" s="70"/>
      <c r="M20" s="70"/>
    </row>
    <row r="21" spans="2:13" ht="20.100000000000001" customHeight="1" x14ac:dyDescent="0.25">
      <c r="B21" s="64"/>
      <c r="C21" s="65"/>
      <c r="D21" s="65"/>
      <c r="E21" s="65"/>
      <c r="F21" s="65"/>
      <c r="G21" s="65"/>
      <c r="H21" s="65"/>
      <c r="I21" s="64"/>
      <c r="K21" s="63"/>
      <c r="L21" s="70"/>
      <c r="M21" s="70"/>
    </row>
    <row r="22" spans="2:13" ht="60" customHeight="1" x14ac:dyDescent="0.25">
      <c r="C22" s="54" t="s">
        <v>393</v>
      </c>
      <c r="D22" s="55" t="s">
        <v>387</v>
      </c>
      <c r="E22" s="55" t="s">
        <v>173</v>
      </c>
      <c r="F22" s="55" t="s">
        <v>120</v>
      </c>
      <c r="G22" s="55" t="s">
        <v>388</v>
      </c>
      <c r="H22" s="55" t="s">
        <v>383</v>
      </c>
      <c r="I22" s="68"/>
    </row>
    <row r="23" spans="2:13" ht="30" customHeight="1" x14ac:dyDescent="0.25">
      <c r="C23" s="130" t="s">
        <v>437</v>
      </c>
      <c r="D23" s="144"/>
      <c r="E23" s="144">
        <v>300</v>
      </c>
      <c r="F23" s="147"/>
      <c r="G23" s="88">
        <v>136</v>
      </c>
      <c r="H23" s="143">
        <f>IF(F23="Fossil free", 0.01, 0.07)</f>
        <v>7.0000000000000007E-2</v>
      </c>
      <c r="I23" s="28"/>
    </row>
    <row r="24" spans="2:13" ht="30" customHeight="1" x14ac:dyDescent="0.25">
      <c r="C24" s="130" t="s">
        <v>438</v>
      </c>
      <c r="D24" s="144"/>
      <c r="E24" s="144">
        <v>300</v>
      </c>
      <c r="F24" s="147"/>
      <c r="G24" s="88">
        <v>140</v>
      </c>
      <c r="H24" s="143">
        <f t="shared" ref="H24:H42" si="1">IF(F24="Fossil free", 0.01, 0.07)</f>
        <v>7.0000000000000007E-2</v>
      </c>
      <c r="I24" s="28"/>
    </row>
    <row r="25" spans="2:13" ht="30" customHeight="1" x14ac:dyDescent="0.25">
      <c r="C25" s="130" t="s">
        <v>440</v>
      </c>
      <c r="D25" s="144"/>
      <c r="E25" s="144">
        <v>300</v>
      </c>
      <c r="F25" s="147"/>
      <c r="G25" s="88">
        <v>132</v>
      </c>
      <c r="H25" s="143">
        <f t="shared" si="1"/>
        <v>7.0000000000000007E-2</v>
      </c>
      <c r="I25" s="28"/>
    </row>
    <row r="26" spans="2:13" ht="30" customHeight="1" x14ac:dyDescent="0.25">
      <c r="C26" s="130" t="s">
        <v>439</v>
      </c>
      <c r="D26" s="144"/>
      <c r="E26" s="144">
        <v>300</v>
      </c>
      <c r="F26" s="147"/>
      <c r="G26" s="88">
        <v>108</v>
      </c>
      <c r="H26" s="143">
        <f t="shared" si="1"/>
        <v>7.0000000000000007E-2</v>
      </c>
      <c r="I26" s="28"/>
    </row>
    <row r="27" spans="2:13" ht="30" customHeight="1" x14ac:dyDescent="0.25">
      <c r="C27" s="231" t="s">
        <v>441</v>
      </c>
      <c r="D27" s="144"/>
      <c r="E27" s="144">
        <v>300</v>
      </c>
      <c r="F27" s="147"/>
      <c r="G27" s="88">
        <v>86</v>
      </c>
      <c r="H27" s="143">
        <f t="shared" si="1"/>
        <v>7.0000000000000007E-2</v>
      </c>
      <c r="I27" s="28"/>
    </row>
    <row r="28" spans="2:13" ht="30" customHeight="1" x14ac:dyDescent="0.25">
      <c r="C28" s="130" t="s">
        <v>442</v>
      </c>
      <c r="D28" s="144"/>
      <c r="E28" s="144">
        <v>300</v>
      </c>
      <c r="F28" s="147"/>
      <c r="G28" s="88">
        <v>246</v>
      </c>
      <c r="H28" s="143">
        <f t="shared" si="1"/>
        <v>7.0000000000000007E-2</v>
      </c>
      <c r="I28" s="28"/>
    </row>
    <row r="29" spans="2:13" ht="30" customHeight="1" x14ac:dyDescent="0.25">
      <c r="C29" s="98" t="s">
        <v>443</v>
      </c>
      <c r="D29" s="144"/>
      <c r="E29" s="144">
        <v>300</v>
      </c>
      <c r="F29" s="147"/>
      <c r="G29" s="88">
        <v>294</v>
      </c>
      <c r="H29" s="143">
        <f t="shared" si="1"/>
        <v>7.0000000000000007E-2</v>
      </c>
      <c r="I29" s="28"/>
    </row>
    <row r="30" spans="2:13" ht="30" customHeight="1" x14ac:dyDescent="0.25">
      <c r="C30" s="103" t="s">
        <v>444</v>
      </c>
      <c r="D30" s="144"/>
      <c r="E30" s="144">
        <v>300</v>
      </c>
      <c r="F30" s="147"/>
      <c r="G30" s="88">
        <v>156</v>
      </c>
      <c r="H30" s="143">
        <f t="shared" si="1"/>
        <v>7.0000000000000007E-2</v>
      </c>
      <c r="I30" s="28"/>
    </row>
    <row r="31" spans="2:13" ht="30" customHeight="1" x14ac:dyDescent="0.25">
      <c r="C31" s="103" t="s">
        <v>445</v>
      </c>
      <c r="D31" s="144"/>
      <c r="E31" s="144">
        <v>300</v>
      </c>
      <c r="F31" s="147"/>
      <c r="G31" s="88">
        <v>202</v>
      </c>
      <c r="H31" s="143">
        <f t="shared" si="1"/>
        <v>7.0000000000000007E-2</v>
      </c>
      <c r="I31" s="28"/>
    </row>
    <row r="32" spans="2:13" ht="30" customHeight="1" x14ac:dyDescent="0.25">
      <c r="C32" s="103" t="s">
        <v>446</v>
      </c>
      <c r="D32" s="144"/>
      <c r="E32" s="144">
        <v>300</v>
      </c>
      <c r="F32" s="147"/>
      <c r="G32" s="88">
        <v>216</v>
      </c>
      <c r="H32" s="143">
        <f t="shared" si="1"/>
        <v>7.0000000000000007E-2</v>
      </c>
      <c r="I32" s="28"/>
    </row>
    <row r="33" spans="2:13" ht="30" customHeight="1" x14ac:dyDescent="0.25">
      <c r="C33" s="103" t="s">
        <v>447</v>
      </c>
      <c r="D33" s="144"/>
      <c r="E33" s="144">
        <v>300</v>
      </c>
      <c r="F33" s="147"/>
      <c r="G33" s="88">
        <v>259</v>
      </c>
      <c r="H33" s="143">
        <f t="shared" si="1"/>
        <v>7.0000000000000007E-2</v>
      </c>
      <c r="I33" s="28"/>
    </row>
    <row r="34" spans="2:13" ht="30" customHeight="1" x14ac:dyDescent="0.25">
      <c r="C34" s="103" t="s">
        <v>448</v>
      </c>
      <c r="D34" s="144"/>
      <c r="E34" s="144">
        <v>300</v>
      </c>
      <c r="F34" s="147"/>
      <c r="G34" s="88">
        <v>277</v>
      </c>
      <c r="H34" s="143">
        <f t="shared" si="1"/>
        <v>7.0000000000000007E-2</v>
      </c>
      <c r="I34" s="28"/>
    </row>
    <row r="35" spans="2:13" ht="30" customHeight="1" x14ac:dyDescent="0.25">
      <c r="C35" s="103" t="s">
        <v>449</v>
      </c>
      <c r="D35" s="144"/>
      <c r="E35" s="144">
        <v>300</v>
      </c>
      <c r="F35" s="147"/>
      <c r="G35" s="88">
        <v>209</v>
      </c>
      <c r="H35" s="143">
        <f t="shared" si="1"/>
        <v>7.0000000000000007E-2</v>
      </c>
      <c r="I35" s="28"/>
    </row>
    <row r="36" spans="2:13" ht="30" customHeight="1" x14ac:dyDescent="0.25">
      <c r="C36" s="103" t="s">
        <v>55</v>
      </c>
      <c r="D36" s="144"/>
      <c r="E36" s="144">
        <v>300</v>
      </c>
      <c r="F36" s="147"/>
      <c r="G36" s="88">
        <v>215</v>
      </c>
      <c r="H36" s="143">
        <f t="shared" si="1"/>
        <v>7.0000000000000007E-2</v>
      </c>
      <c r="I36" s="28"/>
    </row>
    <row r="37" spans="2:13" ht="30" customHeight="1" x14ac:dyDescent="0.25">
      <c r="C37" s="103" t="s">
        <v>56</v>
      </c>
      <c r="D37" s="144"/>
      <c r="E37" s="144">
        <v>300</v>
      </c>
      <c r="F37" s="147"/>
      <c r="G37" s="88">
        <v>61</v>
      </c>
      <c r="H37" s="143">
        <f t="shared" si="1"/>
        <v>7.0000000000000007E-2</v>
      </c>
      <c r="I37" s="28"/>
    </row>
    <row r="38" spans="2:13" ht="30" customHeight="1" x14ac:dyDescent="0.25">
      <c r="C38" s="103" t="s">
        <v>450</v>
      </c>
      <c r="D38" s="144"/>
      <c r="E38" s="144">
        <v>300</v>
      </c>
      <c r="F38" s="147"/>
      <c r="G38" s="88">
        <v>215</v>
      </c>
      <c r="H38" s="143">
        <f t="shared" si="1"/>
        <v>7.0000000000000007E-2</v>
      </c>
      <c r="I38" s="28"/>
    </row>
    <row r="39" spans="2:13" ht="30" customHeight="1" x14ac:dyDescent="0.25">
      <c r="C39" s="103" t="s">
        <v>451</v>
      </c>
      <c r="D39" s="144"/>
      <c r="E39" s="144">
        <v>300</v>
      </c>
      <c r="F39" s="147"/>
      <c r="G39" s="88">
        <v>60</v>
      </c>
      <c r="H39" s="143">
        <f t="shared" si="1"/>
        <v>7.0000000000000007E-2</v>
      </c>
      <c r="I39" s="28"/>
    </row>
    <row r="40" spans="2:13" ht="30" customHeight="1" x14ac:dyDescent="0.25">
      <c r="C40" s="103" t="s">
        <v>452</v>
      </c>
      <c r="D40" s="144"/>
      <c r="E40" s="144">
        <v>300</v>
      </c>
      <c r="F40" s="147"/>
      <c r="G40" s="88">
        <v>267</v>
      </c>
      <c r="H40" s="143">
        <f t="shared" si="1"/>
        <v>7.0000000000000007E-2</v>
      </c>
      <c r="I40" s="28"/>
    </row>
    <row r="41" spans="2:13" ht="30" customHeight="1" x14ac:dyDescent="0.25">
      <c r="C41" s="149" t="s">
        <v>101</v>
      </c>
      <c r="D41" s="148"/>
      <c r="E41" s="144">
        <v>300</v>
      </c>
      <c r="F41" s="147"/>
      <c r="G41" s="144"/>
      <c r="H41" s="143">
        <f t="shared" si="1"/>
        <v>7.0000000000000007E-2</v>
      </c>
      <c r="I41" s="28"/>
    </row>
    <row r="42" spans="2:13" ht="30" customHeight="1" x14ac:dyDescent="0.25">
      <c r="C42" s="149" t="s">
        <v>101</v>
      </c>
      <c r="D42" s="154"/>
      <c r="E42" s="144">
        <v>300</v>
      </c>
      <c r="F42" s="147"/>
      <c r="G42" s="144"/>
      <c r="H42" s="143">
        <f t="shared" si="1"/>
        <v>7.0000000000000007E-2</v>
      </c>
      <c r="I42" s="28"/>
    </row>
    <row r="43" spans="2:13" ht="30" customHeight="1" x14ac:dyDescent="0.25">
      <c r="E43" s="66"/>
      <c r="F43" s="25"/>
      <c r="G43" s="63"/>
      <c r="H43" s="28"/>
      <c r="I43" s="28"/>
      <c r="K43" s="63"/>
      <c r="L43" s="70"/>
      <c r="M43" s="70"/>
    </row>
    <row r="44" spans="2:13" ht="30" customHeight="1" x14ac:dyDescent="0.25">
      <c r="B44" s="278" t="s">
        <v>396</v>
      </c>
      <c r="C44" s="278"/>
      <c r="D44" s="278"/>
      <c r="E44" s="278"/>
      <c r="F44" s="278"/>
      <c r="G44" s="278"/>
      <c r="H44" s="278"/>
      <c r="I44" s="278"/>
      <c r="K44" s="63"/>
      <c r="L44" s="70"/>
      <c r="M44" s="70"/>
    </row>
    <row r="45" spans="2:13" ht="50.1" customHeight="1" x14ac:dyDescent="0.25">
      <c r="B45" s="277" t="s">
        <v>397</v>
      </c>
      <c r="C45" s="277"/>
      <c r="D45" s="277"/>
      <c r="E45" s="277"/>
      <c r="F45" s="277"/>
      <c r="G45" s="277"/>
      <c r="H45" s="277"/>
      <c r="I45" s="277"/>
      <c r="K45" s="63"/>
      <c r="L45" s="70"/>
      <c r="M45" s="70"/>
    </row>
    <row r="46" spans="2:13" ht="20.100000000000001" customHeight="1" x14ac:dyDescent="0.25">
      <c r="B46" s="64"/>
      <c r="C46" s="65"/>
      <c r="D46" s="65"/>
      <c r="E46" s="65"/>
      <c r="F46" s="65"/>
      <c r="G46" s="65"/>
      <c r="H46" s="65"/>
      <c r="I46" s="64"/>
      <c r="K46" s="63"/>
      <c r="L46" s="70"/>
      <c r="M46" s="70"/>
    </row>
    <row r="47" spans="2:13" ht="30" customHeight="1" x14ac:dyDescent="0.25">
      <c r="C47" s="54" t="s">
        <v>57</v>
      </c>
      <c r="D47" s="55" t="s">
        <v>385</v>
      </c>
      <c r="E47" s="55" t="s">
        <v>173</v>
      </c>
      <c r="F47" s="55" t="s">
        <v>120</v>
      </c>
      <c r="G47" s="55" t="s">
        <v>388</v>
      </c>
      <c r="H47" s="55" t="s">
        <v>398</v>
      </c>
      <c r="I47" s="68"/>
    </row>
    <row r="48" spans="2:13" ht="30" customHeight="1" x14ac:dyDescent="0.25">
      <c r="C48" s="134" t="s">
        <v>399</v>
      </c>
      <c r="D48" s="144"/>
      <c r="E48" s="144">
        <v>300</v>
      </c>
      <c r="F48" s="147"/>
      <c r="G48" s="88">
        <v>3500</v>
      </c>
      <c r="H48" s="188">
        <f>IF(F48="Fossil free", 0.01, 0.07)</f>
        <v>7.0000000000000007E-2</v>
      </c>
      <c r="I48" s="28"/>
    </row>
    <row r="49" spans="2:14" ht="30" customHeight="1" x14ac:dyDescent="0.25">
      <c r="C49" s="149" t="s">
        <v>101</v>
      </c>
      <c r="D49" s="144"/>
      <c r="E49" s="144">
        <v>300</v>
      </c>
      <c r="F49" s="147"/>
      <c r="G49" s="154"/>
      <c r="H49" s="188">
        <f t="shared" ref="H49:H50" si="2">IF(F49="Fossil free", 0.01, 0.07)</f>
        <v>7.0000000000000007E-2</v>
      </c>
      <c r="I49" s="28"/>
    </row>
    <row r="50" spans="2:14" ht="30" customHeight="1" x14ac:dyDescent="0.25">
      <c r="C50" s="149" t="s">
        <v>101</v>
      </c>
      <c r="D50" s="144"/>
      <c r="E50" s="144">
        <v>300</v>
      </c>
      <c r="F50" s="147"/>
      <c r="G50" s="154"/>
      <c r="H50" s="188">
        <f t="shared" si="2"/>
        <v>7.0000000000000007E-2</v>
      </c>
      <c r="I50" s="28"/>
    </row>
    <row r="51" spans="2:14" ht="30" customHeight="1" x14ac:dyDescent="0.25">
      <c r="B51" s="90"/>
      <c r="C51" s="28"/>
      <c r="D51" s="28"/>
      <c r="F51" s="66"/>
      <c r="G51" s="93"/>
      <c r="H51" s="28"/>
      <c r="I51" s="28"/>
      <c r="L51" s="70"/>
      <c r="M51" s="70"/>
      <c r="N51" s="70"/>
    </row>
    <row r="52" spans="2:14" ht="30" customHeight="1" x14ac:dyDescent="0.25">
      <c r="B52" s="278" t="s">
        <v>400</v>
      </c>
      <c r="C52" s="278"/>
      <c r="D52" s="278"/>
      <c r="E52" s="278"/>
      <c r="F52" s="278"/>
      <c r="G52" s="278"/>
      <c r="H52" s="278"/>
      <c r="I52" s="278"/>
    </row>
    <row r="53" spans="2:14" ht="60" customHeight="1" x14ac:dyDescent="0.25">
      <c r="B53" s="275" t="s">
        <v>401</v>
      </c>
      <c r="C53" s="275"/>
      <c r="D53" s="275"/>
      <c r="E53" s="275"/>
      <c r="F53" s="275"/>
      <c r="G53" s="275"/>
      <c r="H53" s="275"/>
      <c r="I53" s="275"/>
    </row>
    <row r="54" spans="2:14" ht="30" customHeight="1" x14ac:dyDescent="0.25">
      <c r="B54" s="64"/>
      <c r="C54" s="64"/>
      <c r="D54" s="64"/>
      <c r="E54" s="64"/>
      <c r="F54" s="64"/>
      <c r="G54" s="64"/>
      <c r="H54" s="64"/>
      <c r="I54" s="64"/>
    </row>
    <row r="55" spans="2:14" ht="35.1" customHeight="1" x14ac:dyDescent="0.25">
      <c r="B55" s="64"/>
      <c r="C55" s="64"/>
      <c r="D55" s="54" t="s">
        <v>179</v>
      </c>
      <c r="E55" s="55" t="s">
        <v>402</v>
      </c>
      <c r="F55" s="55" t="s">
        <v>180</v>
      </c>
      <c r="G55" s="64"/>
      <c r="H55" s="64"/>
      <c r="I55" s="64"/>
    </row>
    <row r="56" spans="2:14" ht="40.5" customHeight="1" x14ac:dyDescent="0.25">
      <c r="B56" s="64"/>
      <c r="C56" s="64"/>
      <c r="D56" s="130" t="s">
        <v>181</v>
      </c>
      <c r="E56" s="153"/>
      <c r="F56" s="222"/>
      <c r="G56" s="64"/>
      <c r="H56" s="64"/>
      <c r="I56" s="64"/>
    </row>
    <row r="57" spans="2:14" ht="30" customHeight="1" x14ac:dyDescent="0.25">
      <c r="B57" s="64"/>
      <c r="C57" s="64"/>
      <c r="D57" s="335" t="s">
        <v>182</v>
      </c>
      <c r="E57" s="335"/>
      <c r="F57" s="335"/>
      <c r="G57" s="64"/>
      <c r="H57" s="64"/>
      <c r="I57" s="64"/>
    </row>
    <row r="58" spans="2:14" ht="30" customHeight="1" x14ac:dyDescent="0.25">
      <c r="B58" s="64"/>
      <c r="C58" s="65"/>
      <c r="D58" s="65"/>
      <c r="E58" s="65"/>
      <c r="F58" s="65"/>
      <c r="G58" s="65"/>
      <c r="H58" s="65"/>
      <c r="I58" s="64"/>
    </row>
    <row r="59" spans="2:14" ht="30" customHeight="1" x14ac:dyDescent="0.25">
      <c r="C59" s="54" t="s">
        <v>183</v>
      </c>
      <c r="D59" s="55" t="s">
        <v>385</v>
      </c>
      <c r="E59" s="55" t="s">
        <v>173</v>
      </c>
      <c r="F59" s="55" t="s">
        <v>120</v>
      </c>
      <c r="G59" s="55" t="s">
        <v>388</v>
      </c>
      <c r="H59" s="55" t="s">
        <v>398</v>
      </c>
      <c r="I59" s="68"/>
    </row>
    <row r="60" spans="2:14" ht="30" customHeight="1" x14ac:dyDescent="0.25">
      <c r="C60" s="134" t="s">
        <v>184</v>
      </c>
      <c r="D60" s="144"/>
      <c r="E60" s="144">
        <v>300</v>
      </c>
      <c r="F60" s="147"/>
      <c r="G60" s="88">
        <v>7000</v>
      </c>
      <c r="H60" s="143">
        <f>IF(F60="Fossil free", 0.01, 0.07)</f>
        <v>7.0000000000000007E-2</v>
      </c>
      <c r="I60" s="68"/>
    </row>
    <row r="61" spans="2:14" ht="30" customHeight="1" x14ac:dyDescent="0.25">
      <c r="C61" s="130" t="s">
        <v>185</v>
      </c>
      <c r="D61" s="144"/>
      <c r="E61" s="144">
        <v>300</v>
      </c>
      <c r="F61" s="147"/>
      <c r="G61" s="88">
        <v>2000</v>
      </c>
      <c r="H61" s="143">
        <f t="shared" ref="H61:H86" si="3">IF(F61="Fossil free", 0.01, 0.07)</f>
        <v>7.0000000000000007E-2</v>
      </c>
      <c r="I61" s="68"/>
    </row>
    <row r="62" spans="2:14" ht="30" customHeight="1" x14ac:dyDescent="0.25">
      <c r="C62" s="130" t="s">
        <v>477</v>
      </c>
      <c r="D62" s="144"/>
      <c r="E62" s="144">
        <v>300</v>
      </c>
      <c r="F62" s="147"/>
      <c r="G62" s="88">
        <v>1100</v>
      </c>
      <c r="H62" s="143">
        <f t="shared" si="3"/>
        <v>7.0000000000000007E-2</v>
      </c>
      <c r="I62" s="68"/>
    </row>
    <row r="63" spans="2:14" ht="30" customHeight="1" x14ac:dyDescent="0.25">
      <c r="C63" s="130" t="s">
        <v>52</v>
      </c>
      <c r="D63" s="153"/>
      <c r="E63" s="144">
        <v>300</v>
      </c>
      <c r="F63" s="147"/>
      <c r="G63" s="88">
        <v>6</v>
      </c>
      <c r="H63" s="143">
        <f t="shared" si="3"/>
        <v>7.0000000000000007E-2</v>
      </c>
      <c r="I63" s="68"/>
    </row>
    <row r="64" spans="2:14" ht="30" customHeight="1" x14ac:dyDescent="0.25">
      <c r="C64" s="134" t="s">
        <v>193</v>
      </c>
      <c r="D64" s="144"/>
      <c r="E64" s="144">
        <v>300</v>
      </c>
      <c r="F64" s="147"/>
      <c r="G64" s="88">
        <v>1150</v>
      </c>
      <c r="H64" s="143">
        <f t="shared" si="3"/>
        <v>7.0000000000000007E-2</v>
      </c>
      <c r="I64" s="28"/>
    </row>
    <row r="65" spans="3:9" ht="30" customHeight="1" x14ac:dyDescent="0.25">
      <c r="C65" s="134" t="s">
        <v>194</v>
      </c>
      <c r="D65" s="144"/>
      <c r="E65" s="144">
        <v>300</v>
      </c>
      <c r="F65" s="147"/>
      <c r="G65" s="88">
        <v>890</v>
      </c>
      <c r="H65" s="143">
        <f t="shared" si="3"/>
        <v>7.0000000000000007E-2</v>
      </c>
      <c r="I65" s="28"/>
    </row>
    <row r="66" spans="3:9" ht="30" customHeight="1" x14ac:dyDescent="0.25">
      <c r="C66" s="134" t="s">
        <v>186</v>
      </c>
      <c r="D66" s="144"/>
      <c r="E66" s="144">
        <v>300</v>
      </c>
      <c r="F66" s="147"/>
      <c r="G66" s="88">
        <v>44</v>
      </c>
      <c r="H66" s="143">
        <f t="shared" si="3"/>
        <v>7.0000000000000007E-2</v>
      </c>
      <c r="I66" s="28"/>
    </row>
    <row r="67" spans="3:9" ht="30" customHeight="1" x14ac:dyDescent="0.25">
      <c r="C67" s="134" t="s">
        <v>478</v>
      </c>
      <c r="D67" s="144"/>
      <c r="E67" s="144">
        <v>300</v>
      </c>
      <c r="F67" s="147"/>
      <c r="G67" s="88">
        <v>17</v>
      </c>
      <c r="H67" s="143">
        <f t="shared" si="3"/>
        <v>7.0000000000000007E-2</v>
      </c>
      <c r="I67" s="28"/>
    </row>
    <row r="68" spans="3:9" ht="30" customHeight="1" x14ac:dyDescent="0.25">
      <c r="C68" s="134" t="s">
        <v>479</v>
      </c>
      <c r="D68" s="144"/>
      <c r="E68" s="144">
        <v>300</v>
      </c>
      <c r="F68" s="147"/>
      <c r="G68" s="88">
        <v>330</v>
      </c>
      <c r="H68" s="143">
        <f t="shared" si="3"/>
        <v>7.0000000000000007E-2</v>
      </c>
      <c r="I68" s="28"/>
    </row>
    <row r="69" spans="3:9" ht="30" customHeight="1" x14ac:dyDescent="0.25">
      <c r="C69" s="134" t="s">
        <v>480</v>
      </c>
      <c r="D69" s="144"/>
      <c r="E69" s="144">
        <v>300</v>
      </c>
      <c r="F69" s="147"/>
      <c r="G69" s="88">
        <v>165</v>
      </c>
      <c r="H69" s="143">
        <f t="shared" si="3"/>
        <v>7.0000000000000007E-2</v>
      </c>
      <c r="I69" s="28"/>
    </row>
    <row r="70" spans="3:9" ht="30" customHeight="1" x14ac:dyDescent="0.25">
      <c r="C70" s="134" t="s">
        <v>187</v>
      </c>
      <c r="D70" s="144"/>
      <c r="E70" s="144">
        <v>300</v>
      </c>
      <c r="F70" s="147"/>
      <c r="G70" s="88">
        <v>710</v>
      </c>
      <c r="H70" s="143">
        <f t="shared" si="3"/>
        <v>7.0000000000000007E-2</v>
      </c>
      <c r="I70" s="28"/>
    </row>
    <row r="71" spans="3:9" ht="30" customHeight="1" x14ac:dyDescent="0.25">
      <c r="C71" s="134" t="s">
        <v>403</v>
      </c>
      <c r="D71" s="144"/>
      <c r="E71" s="144">
        <v>300</v>
      </c>
      <c r="F71" s="147"/>
      <c r="G71" s="88">
        <v>320</v>
      </c>
      <c r="H71" s="143">
        <f t="shared" si="3"/>
        <v>7.0000000000000007E-2</v>
      </c>
      <c r="I71" s="28"/>
    </row>
    <row r="72" spans="3:9" ht="30" customHeight="1" x14ac:dyDescent="0.25">
      <c r="C72" s="134" t="s">
        <v>481</v>
      </c>
      <c r="D72" s="144"/>
      <c r="E72" s="144">
        <v>300</v>
      </c>
      <c r="F72" s="147"/>
      <c r="G72" s="88">
        <v>83</v>
      </c>
      <c r="H72" s="143">
        <f t="shared" si="3"/>
        <v>7.0000000000000007E-2</v>
      </c>
      <c r="I72" s="28"/>
    </row>
    <row r="73" spans="3:9" ht="30" customHeight="1" x14ac:dyDescent="0.25">
      <c r="C73" s="134" t="s">
        <v>433</v>
      </c>
      <c r="D73" s="144"/>
      <c r="E73" s="144">
        <v>300</v>
      </c>
      <c r="F73" s="147"/>
      <c r="G73" s="88">
        <v>530</v>
      </c>
      <c r="H73" s="143">
        <f t="shared" si="3"/>
        <v>7.0000000000000007E-2</v>
      </c>
      <c r="I73" s="28"/>
    </row>
    <row r="74" spans="3:9" ht="30" customHeight="1" x14ac:dyDescent="0.25">
      <c r="C74" s="134" t="s">
        <v>404</v>
      </c>
      <c r="D74" s="144"/>
      <c r="E74" s="144">
        <v>300</v>
      </c>
      <c r="F74" s="147"/>
      <c r="G74" s="88">
        <v>200</v>
      </c>
      <c r="H74" s="143">
        <f t="shared" si="3"/>
        <v>7.0000000000000007E-2</v>
      </c>
      <c r="I74" s="28"/>
    </row>
    <row r="75" spans="3:9" ht="30" customHeight="1" x14ac:dyDescent="0.25">
      <c r="C75" s="134" t="s">
        <v>482</v>
      </c>
      <c r="D75" s="144"/>
      <c r="E75" s="144">
        <v>300</v>
      </c>
      <c r="F75" s="147"/>
      <c r="G75" s="88">
        <v>75</v>
      </c>
      <c r="H75" s="143">
        <f t="shared" si="3"/>
        <v>7.0000000000000007E-2</v>
      </c>
      <c r="I75" s="28"/>
    </row>
    <row r="76" spans="3:9" ht="30" customHeight="1" x14ac:dyDescent="0.25">
      <c r="C76" s="134" t="s">
        <v>457</v>
      </c>
      <c r="D76" s="144"/>
      <c r="E76" s="144">
        <v>300</v>
      </c>
      <c r="F76" s="147"/>
      <c r="G76" s="88">
        <v>120</v>
      </c>
      <c r="H76" s="143">
        <f t="shared" si="3"/>
        <v>7.0000000000000007E-2</v>
      </c>
      <c r="I76" s="28"/>
    </row>
    <row r="77" spans="3:9" ht="30" customHeight="1" x14ac:dyDescent="0.25">
      <c r="C77" s="134" t="s">
        <v>405</v>
      </c>
      <c r="D77" s="144"/>
      <c r="E77" s="144">
        <v>300</v>
      </c>
      <c r="F77" s="147"/>
      <c r="G77" s="88">
        <v>450</v>
      </c>
      <c r="H77" s="143">
        <f t="shared" si="3"/>
        <v>7.0000000000000007E-2</v>
      </c>
      <c r="I77" s="28"/>
    </row>
    <row r="78" spans="3:9" ht="30" customHeight="1" x14ac:dyDescent="0.25">
      <c r="C78" s="134" t="s">
        <v>188</v>
      </c>
      <c r="D78" s="144"/>
      <c r="E78" s="144">
        <v>300</v>
      </c>
      <c r="F78" s="147"/>
      <c r="G78" s="88">
        <v>500</v>
      </c>
      <c r="H78" s="143">
        <f t="shared" si="3"/>
        <v>7.0000000000000007E-2</v>
      </c>
      <c r="I78" s="28"/>
    </row>
    <row r="79" spans="3:9" ht="30" customHeight="1" x14ac:dyDescent="0.25">
      <c r="C79" s="134" t="s">
        <v>189</v>
      </c>
      <c r="D79" s="144"/>
      <c r="E79" s="144">
        <v>300</v>
      </c>
      <c r="F79" s="147"/>
      <c r="G79" s="88">
        <v>500</v>
      </c>
      <c r="H79" s="143">
        <f t="shared" si="3"/>
        <v>7.0000000000000007E-2</v>
      </c>
      <c r="I79" s="28"/>
    </row>
    <row r="80" spans="3:9" ht="30" customHeight="1" x14ac:dyDescent="0.25">
      <c r="C80" s="134" t="s">
        <v>190</v>
      </c>
      <c r="D80" s="144"/>
      <c r="E80" s="144">
        <v>300</v>
      </c>
      <c r="F80" s="147"/>
      <c r="G80" s="88">
        <v>500</v>
      </c>
      <c r="H80" s="143">
        <f t="shared" si="3"/>
        <v>7.0000000000000007E-2</v>
      </c>
      <c r="I80" s="28"/>
    </row>
    <row r="81" spans="2:13" ht="30" customHeight="1" x14ac:dyDescent="0.25">
      <c r="C81" s="134" t="s">
        <v>191</v>
      </c>
      <c r="D81" s="144"/>
      <c r="E81" s="144">
        <v>300</v>
      </c>
      <c r="F81" s="147"/>
      <c r="G81" s="88">
        <v>500</v>
      </c>
      <c r="H81" s="143">
        <f t="shared" si="3"/>
        <v>7.0000000000000007E-2</v>
      </c>
      <c r="I81" s="28"/>
    </row>
    <row r="82" spans="2:13" ht="30" customHeight="1" x14ac:dyDescent="0.25">
      <c r="C82" s="134" t="s">
        <v>192</v>
      </c>
      <c r="D82" s="144"/>
      <c r="E82" s="144">
        <v>300</v>
      </c>
      <c r="F82" s="147"/>
      <c r="G82" s="88">
        <v>2000</v>
      </c>
      <c r="H82" s="143">
        <f t="shared" si="3"/>
        <v>7.0000000000000007E-2</v>
      </c>
      <c r="I82" s="28"/>
    </row>
    <row r="83" spans="2:13" ht="30" customHeight="1" x14ac:dyDescent="0.25">
      <c r="C83" s="149" t="s">
        <v>101</v>
      </c>
      <c r="D83" s="144"/>
      <c r="E83" s="144">
        <v>300</v>
      </c>
      <c r="F83" s="147"/>
      <c r="G83" s="154"/>
      <c r="H83" s="143">
        <f t="shared" si="3"/>
        <v>7.0000000000000007E-2</v>
      </c>
      <c r="I83" s="28"/>
    </row>
    <row r="84" spans="2:13" ht="30" customHeight="1" x14ac:dyDescent="0.25">
      <c r="C84" s="149" t="s">
        <v>101</v>
      </c>
      <c r="D84" s="144"/>
      <c r="E84" s="144">
        <v>300</v>
      </c>
      <c r="F84" s="147"/>
      <c r="G84" s="154"/>
      <c r="H84" s="143">
        <f t="shared" si="3"/>
        <v>7.0000000000000007E-2</v>
      </c>
      <c r="I84" s="28"/>
    </row>
    <row r="85" spans="2:13" ht="30" customHeight="1" x14ac:dyDescent="0.25">
      <c r="C85" s="149" t="s">
        <v>101</v>
      </c>
      <c r="D85" s="144"/>
      <c r="E85" s="144">
        <v>300</v>
      </c>
      <c r="F85" s="147"/>
      <c r="G85" s="154"/>
      <c r="H85" s="143">
        <f t="shared" si="3"/>
        <v>7.0000000000000007E-2</v>
      </c>
      <c r="I85" s="28"/>
    </row>
    <row r="86" spans="2:13" ht="30" customHeight="1" x14ac:dyDescent="0.25">
      <c r="C86" s="149" t="s">
        <v>101</v>
      </c>
      <c r="D86" s="144"/>
      <c r="E86" s="144">
        <v>300</v>
      </c>
      <c r="F86" s="147"/>
      <c r="G86" s="154"/>
      <c r="H86" s="143">
        <f t="shared" si="3"/>
        <v>7.0000000000000007E-2</v>
      </c>
      <c r="I86" s="28"/>
    </row>
    <row r="87" spans="2:13" ht="30" customHeight="1" x14ac:dyDescent="0.25">
      <c r="I87" s="28"/>
    </row>
    <row r="88" spans="2:13" ht="30" customHeight="1" x14ac:dyDescent="0.25">
      <c r="B88" s="90"/>
      <c r="C88" s="28"/>
      <c r="D88" s="28"/>
      <c r="F88" s="66"/>
      <c r="G88" s="93"/>
      <c r="H88" s="28"/>
      <c r="I88" s="28"/>
      <c r="K88" s="63"/>
      <c r="L88" s="70"/>
      <c r="M88" s="70"/>
    </row>
    <row r="89" spans="2:13" ht="30" hidden="1" customHeight="1" x14ac:dyDescent="0.25">
      <c r="B89" s="90"/>
      <c r="C89" s="91"/>
      <c r="D89" s="91"/>
      <c r="E89" s="92"/>
      <c r="F89" s="70"/>
      <c r="G89" s="93"/>
      <c r="H89" s="28"/>
      <c r="I89" s="28"/>
      <c r="K89" s="63" t="e">
        <f>'Enter data for chemicals here'!#REF!</f>
        <v>#REF!</v>
      </c>
      <c r="L89" s="70" t="e">
        <f>'Enter data for chemicals here'!#REF!*'Enter data for chemicals here'!#REF!</f>
        <v>#REF!</v>
      </c>
      <c r="M89" s="70" t="e">
        <f>'Enter data for chemicals here'!#REF!*'Enter data for chemicals here'!#REF!</f>
        <v>#REF!</v>
      </c>
    </row>
    <row r="90" spans="2:13" ht="30" hidden="1" customHeight="1" x14ac:dyDescent="0.25">
      <c r="B90" s="90"/>
      <c r="C90" s="91"/>
      <c r="D90" s="91"/>
      <c r="E90" s="92"/>
      <c r="F90" s="70"/>
      <c r="G90" s="93"/>
      <c r="H90" s="28"/>
      <c r="I90" s="28"/>
      <c r="K90" s="63" t="e">
        <f>'Enter data for chemicals here'!#REF!</f>
        <v>#REF!</v>
      </c>
      <c r="L90" s="70" t="e">
        <f>'Enter data for chemicals here'!#REF!*'Enter data for chemicals here'!#REF!</f>
        <v>#REF!</v>
      </c>
      <c r="M90" s="70" t="e">
        <f>'Enter data for chemicals here'!#REF!*'Enter data for chemicals here'!#REF!</f>
        <v>#REF!</v>
      </c>
    </row>
    <row r="91" spans="2:13" ht="30" hidden="1" customHeight="1" x14ac:dyDescent="0.25">
      <c r="B91" s="90"/>
      <c r="C91" s="91"/>
      <c r="D91" s="91"/>
      <c r="E91" s="92"/>
      <c r="F91" s="70"/>
      <c r="G91" s="93"/>
      <c r="H91" s="28"/>
      <c r="I91" s="28"/>
      <c r="K91" s="63" t="e">
        <f>'Enter data for chemicals here'!#REF!</f>
        <v>#REF!</v>
      </c>
      <c r="L91" s="70" t="e">
        <f>'Enter data for chemicals here'!#REF!*'Enter data for chemicals here'!#REF!</f>
        <v>#REF!</v>
      </c>
      <c r="M91" s="70" t="e">
        <f>'Enter data for chemicals here'!#REF!*'Enter data for chemicals here'!#REF!</f>
        <v>#REF!</v>
      </c>
    </row>
    <row r="92" spans="2:13" ht="30" hidden="1" customHeight="1" x14ac:dyDescent="0.25">
      <c r="B92" s="90"/>
      <c r="C92" s="91"/>
      <c r="D92" s="91"/>
      <c r="E92" s="92"/>
      <c r="F92" s="70"/>
      <c r="G92" s="93"/>
      <c r="H92" s="28"/>
      <c r="I92" s="28"/>
      <c r="K92" s="63" t="e">
        <f>'Enter data for chemicals here'!#REF!</f>
        <v>#REF!</v>
      </c>
      <c r="L92" s="70" t="e">
        <f>'Enter data for chemicals here'!#REF!*'Enter data for chemicals here'!#REF!</f>
        <v>#REF!</v>
      </c>
      <c r="M92" s="70" t="e">
        <f>'Enter data for chemicals here'!#REF!*'Enter data for chemicals here'!#REF!</f>
        <v>#REF!</v>
      </c>
    </row>
    <row r="93" spans="2:13" ht="30" hidden="1" customHeight="1" x14ac:dyDescent="0.25">
      <c r="B93" s="90"/>
      <c r="C93" s="91"/>
      <c r="D93" s="91"/>
      <c r="E93" s="92"/>
      <c r="F93" s="70"/>
      <c r="G93" s="93"/>
      <c r="H93" s="28"/>
      <c r="I93" s="28"/>
      <c r="K93" s="63" t="str">
        <f>'Enter data for chemicals here'!C41</f>
        <v>Other</v>
      </c>
      <c r="L93" s="70">
        <f>'Enter data for chemicals here'!D41*'Enter data for chemicals here'!G41</f>
        <v>0</v>
      </c>
      <c r="M93" s="70" t="e">
        <f>'Enter data for chemicals here'!#REF!*'Enter data for chemicals here'!H41</f>
        <v>#REF!</v>
      </c>
    </row>
    <row r="94" spans="2:13" ht="30" hidden="1" customHeight="1" x14ac:dyDescent="0.25">
      <c r="B94" s="90"/>
      <c r="C94" s="91"/>
      <c r="D94" s="91"/>
      <c r="E94" s="92"/>
      <c r="F94" s="70"/>
      <c r="G94" s="93"/>
      <c r="H94" s="28"/>
      <c r="I94" s="28"/>
    </row>
    <row r="95" spans="2:13" ht="30" hidden="1" customHeight="1" x14ac:dyDescent="0.25">
      <c r="B95" s="90"/>
      <c r="C95" s="91"/>
      <c r="D95" s="91"/>
      <c r="E95" s="92"/>
      <c r="F95" s="70"/>
      <c r="G95" s="93"/>
      <c r="H95" s="28"/>
      <c r="I95" s="28"/>
    </row>
    <row r="96" spans="2:13" ht="30" hidden="1" customHeight="1" x14ac:dyDescent="0.25">
      <c r="B96" s="90"/>
      <c r="C96" s="91"/>
      <c r="D96" s="91"/>
      <c r="E96" s="92"/>
      <c r="F96" s="70"/>
      <c r="G96" s="93"/>
      <c r="H96" s="28"/>
      <c r="I96" s="28"/>
    </row>
    <row r="97" spans="2:9" ht="30" hidden="1" customHeight="1" x14ac:dyDescent="0.25">
      <c r="B97" s="90"/>
      <c r="C97" s="91"/>
      <c r="D97" s="91"/>
      <c r="E97" s="92"/>
      <c r="F97" s="70"/>
      <c r="G97" s="93"/>
      <c r="H97" s="28"/>
      <c r="I97" s="28"/>
    </row>
    <row r="98" spans="2:9" ht="30" hidden="1" customHeight="1" x14ac:dyDescent="0.25">
      <c r="B98" s="90"/>
      <c r="C98" s="91"/>
      <c r="D98" s="91"/>
      <c r="E98" s="92"/>
      <c r="F98" s="70"/>
      <c r="G98" s="93"/>
      <c r="H98" s="28"/>
      <c r="I98" s="28"/>
    </row>
    <row r="99" spans="2:9" ht="30" hidden="1" customHeight="1" x14ac:dyDescent="0.25">
      <c r="B99" s="90"/>
      <c r="C99" s="91"/>
      <c r="D99" s="91"/>
      <c r="E99" s="92"/>
      <c r="F99" s="70"/>
      <c r="G99" s="93"/>
      <c r="H99" s="28"/>
      <c r="I99" s="28"/>
    </row>
    <row r="100" spans="2:9" ht="30" hidden="1" customHeight="1" x14ac:dyDescent="0.25">
      <c r="B100" s="90"/>
      <c r="C100" s="91"/>
      <c r="D100" s="91"/>
      <c r="E100" s="92"/>
      <c r="F100" s="70"/>
      <c r="G100" s="93"/>
      <c r="H100" s="28"/>
      <c r="I100" s="28"/>
    </row>
    <row r="101" spans="2:9" ht="30" hidden="1" customHeight="1" x14ac:dyDescent="0.25">
      <c r="E101" s="25"/>
      <c r="F101" s="25"/>
      <c r="G101" s="63"/>
      <c r="H101" s="28"/>
      <c r="I101" s="28"/>
    </row>
    <row r="102" spans="2:9" ht="15" hidden="1" customHeight="1" x14ac:dyDescent="0.25"/>
    <row r="103" spans="2:9" ht="15" hidden="1" customHeight="1" x14ac:dyDescent="0.25"/>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F48:F50 E89:E100 F10:F17 F23:F42 F60:F87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6"/>
  <sheetViews>
    <sheetView showGridLines="0" topLeftCell="A2" zoomScale="90" zoomScaleNormal="90" workbookViewId="0">
      <selection activeCell="H9" sqref="H9"/>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72" t="s">
        <v>195</v>
      </c>
      <c r="C3" s="272"/>
      <c r="D3" s="272"/>
      <c r="E3" s="272"/>
      <c r="F3" s="272"/>
      <c r="G3" s="272"/>
      <c r="H3" s="272"/>
      <c r="I3" s="272"/>
    </row>
    <row r="4" spans="1:9" ht="33" customHeight="1" x14ac:dyDescent="0.25">
      <c r="B4" s="314" t="s">
        <v>196</v>
      </c>
      <c r="C4" s="314"/>
      <c r="D4" s="314"/>
      <c r="E4" s="314"/>
      <c r="F4" s="314"/>
      <c r="G4" s="314"/>
      <c r="H4" s="314"/>
      <c r="I4" s="314"/>
    </row>
    <row r="5" spans="1:9" ht="33" customHeight="1" x14ac:dyDescent="0.25">
      <c r="B5" s="78"/>
      <c r="C5" s="78"/>
      <c r="D5" s="78"/>
      <c r="E5" s="78"/>
      <c r="F5" s="78"/>
      <c r="G5" s="78"/>
      <c r="H5" s="78"/>
      <c r="I5" s="78"/>
    </row>
    <row r="6" spans="1:9" ht="33" customHeight="1" x14ac:dyDescent="0.25">
      <c r="B6" s="337" t="s">
        <v>197</v>
      </c>
      <c r="C6" s="337"/>
      <c r="D6" s="337"/>
      <c r="E6" s="337"/>
      <c r="F6" s="337"/>
      <c r="G6" s="337"/>
      <c r="H6" s="337"/>
      <c r="I6" s="337"/>
    </row>
    <row r="7" spans="1:9" ht="33" customHeight="1" x14ac:dyDescent="0.25">
      <c r="B7" s="78"/>
      <c r="C7" s="78"/>
      <c r="D7" s="78"/>
      <c r="E7" s="78"/>
      <c r="F7" s="78"/>
      <c r="G7" s="78"/>
      <c r="H7" s="78"/>
      <c r="I7" s="78"/>
    </row>
    <row r="8" spans="1:9" ht="45" customHeight="1" x14ac:dyDescent="0.25">
      <c r="B8" s="78"/>
      <c r="C8" s="115" t="s">
        <v>407</v>
      </c>
      <c r="D8" s="115" t="s">
        <v>408</v>
      </c>
      <c r="E8" s="115" t="s">
        <v>409</v>
      </c>
      <c r="F8" s="81" t="s">
        <v>410</v>
      </c>
      <c r="H8" s="81" t="s">
        <v>198</v>
      </c>
      <c r="I8" s="78"/>
    </row>
    <row r="9" spans="1:9" ht="33" customHeight="1" x14ac:dyDescent="0.25">
      <c r="B9" s="78"/>
      <c r="C9" s="179">
        <f>SUM(D9:F9)</f>
        <v>0</v>
      </c>
      <c r="D9" s="179">
        <f>(SUM(H15:H19))/1000</f>
        <v>0</v>
      </c>
      <c r="E9" s="179">
        <f>(SUM(H26:H29)+H32+H33)/1000</f>
        <v>0</v>
      </c>
      <c r="F9" s="113">
        <f>(SUM(H39:H40))/1000</f>
        <v>0</v>
      </c>
      <c r="H9" s="113" t="str">
        <f>IFERROR((ABS(C9)/'Results presentation in table'!K14)*100, "Enter data in input tabs")</f>
        <v>Enter data in input tabs</v>
      </c>
      <c r="I9" s="78"/>
    </row>
    <row r="10" spans="1:9" ht="33" customHeight="1" x14ac:dyDescent="0.25">
      <c r="B10" s="66"/>
      <c r="C10" s="66"/>
      <c r="D10" s="66"/>
      <c r="E10" s="66"/>
      <c r="F10" s="66"/>
      <c r="G10" s="66"/>
      <c r="H10" s="66"/>
      <c r="I10" s="66"/>
    </row>
    <row r="11" spans="1:9" ht="33" customHeight="1" x14ac:dyDescent="0.25">
      <c r="B11" s="278" t="s">
        <v>199</v>
      </c>
      <c r="C11" s="278"/>
      <c r="D11" s="278"/>
      <c r="E11" s="278"/>
      <c r="F11" s="278"/>
      <c r="G11" s="278"/>
      <c r="H11" s="278"/>
      <c r="I11" s="278"/>
    </row>
    <row r="12" spans="1:9" ht="33" customHeight="1" x14ac:dyDescent="0.25">
      <c r="A12" s="23"/>
      <c r="B12" s="277" t="s">
        <v>200</v>
      </c>
      <c r="C12" s="277"/>
      <c r="D12" s="277"/>
      <c r="E12" s="277"/>
      <c r="F12" s="277"/>
      <c r="G12" s="277"/>
      <c r="H12" s="277"/>
      <c r="I12" s="277"/>
    </row>
    <row r="13" spans="1:9" ht="30" customHeight="1" x14ac:dyDescent="0.25">
      <c r="B13" s="64"/>
      <c r="C13" s="64"/>
      <c r="D13" s="64"/>
      <c r="E13" s="53"/>
      <c r="F13" s="53"/>
      <c r="G13" s="64"/>
      <c r="H13" s="64"/>
      <c r="I13" s="64"/>
    </row>
    <row r="14" spans="1:9" ht="60" customHeight="1" x14ac:dyDescent="0.25">
      <c r="C14" s="114" t="s">
        <v>220</v>
      </c>
      <c r="D14" s="77" t="s">
        <v>201</v>
      </c>
      <c r="E14" s="116" t="s">
        <v>212</v>
      </c>
      <c r="F14" s="55" t="s">
        <v>202</v>
      </c>
      <c r="G14" s="77" t="s">
        <v>203</v>
      </c>
      <c r="H14" s="55" t="s">
        <v>204</v>
      </c>
    </row>
    <row r="15" spans="1:9" ht="30" customHeight="1" x14ac:dyDescent="0.25">
      <c r="C15" s="140" t="s">
        <v>205</v>
      </c>
      <c r="D15" s="154"/>
      <c r="E15" s="168">
        <v>338</v>
      </c>
      <c r="F15" s="110" t="s">
        <v>406</v>
      </c>
      <c r="G15" s="138">
        <v>1</v>
      </c>
      <c r="H15" s="88">
        <f>-D15*E15*G15</f>
        <v>0</v>
      </c>
      <c r="I15" s="105"/>
    </row>
    <row r="16" spans="1:9" ht="30" customHeight="1" x14ac:dyDescent="0.25">
      <c r="C16" s="140" t="s">
        <v>206</v>
      </c>
      <c r="D16" s="154"/>
      <c r="E16" s="168">
        <v>90</v>
      </c>
      <c r="F16" s="110" t="s">
        <v>209</v>
      </c>
      <c r="G16" s="138">
        <v>1</v>
      </c>
      <c r="H16" s="88">
        <f>-D16*E16*G16</f>
        <v>0</v>
      </c>
      <c r="I16" s="336"/>
    </row>
    <row r="17" spans="2:13" ht="30" customHeight="1" x14ac:dyDescent="0.25">
      <c r="C17" s="140" t="s">
        <v>207</v>
      </c>
      <c r="D17" s="154"/>
      <c r="E17" s="151"/>
      <c r="F17" s="110" t="s">
        <v>210</v>
      </c>
      <c r="G17" s="138">
        <v>1</v>
      </c>
      <c r="H17" s="88">
        <f>-D17*E17*G17</f>
        <v>0</v>
      </c>
      <c r="I17" s="336"/>
    </row>
    <row r="18" spans="2:13" ht="30" customHeight="1" x14ac:dyDescent="0.25">
      <c r="C18" s="140" t="s">
        <v>208</v>
      </c>
      <c r="D18" s="88">
        <f>('Enter data here'!F56*(References!C88)+'Enter data here'!F54*(References!C89))/3600*References!C90</f>
        <v>0</v>
      </c>
      <c r="E18" s="151"/>
      <c r="F18" s="110" t="s">
        <v>210</v>
      </c>
      <c r="G18" s="138">
        <v>1</v>
      </c>
      <c r="H18" s="88">
        <f>-D18*E18*G18</f>
        <v>0</v>
      </c>
      <c r="I18" s="336"/>
    </row>
    <row r="19" spans="2:13" ht="30" customHeight="1" x14ac:dyDescent="0.25">
      <c r="C19" s="152" t="s">
        <v>101</v>
      </c>
      <c r="D19" s="154"/>
      <c r="E19" s="176"/>
      <c r="F19" s="153"/>
      <c r="G19" s="150"/>
      <c r="H19" s="88">
        <f>-D19*E19*G19</f>
        <v>0</v>
      </c>
      <c r="I19" s="336"/>
    </row>
    <row r="20" spans="2:13" ht="30" customHeight="1" x14ac:dyDescent="0.25">
      <c r="C20" s="338" t="s">
        <v>211</v>
      </c>
      <c r="D20" s="339"/>
      <c r="E20" s="339"/>
      <c r="F20" s="339"/>
      <c r="G20" s="339"/>
      <c r="H20" s="339"/>
    </row>
    <row r="21" spans="2:13" ht="30" customHeight="1" x14ac:dyDescent="0.25">
      <c r="E21" s="25"/>
      <c r="F21" s="25"/>
      <c r="G21" s="63"/>
      <c r="H21" s="28"/>
      <c r="I21" s="28"/>
      <c r="K21" s="63"/>
      <c r="L21" s="70"/>
      <c r="M21" s="70"/>
    </row>
    <row r="22" spans="2:13" ht="30" customHeight="1" x14ac:dyDescent="0.25">
      <c r="B22" s="278" t="s">
        <v>351</v>
      </c>
      <c r="C22" s="278"/>
      <c r="D22" s="278"/>
      <c r="E22" s="278"/>
      <c r="F22" s="278"/>
      <c r="G22" s="278"/>
      <c r="H22" s="278"/>
      <c r="I22" s="278"/>
      <c r="K22" s="63"/>
      <c r="L22" s="70"/>
      <c r="M22" s="70"/>
    </row>
    <row r="23" spans="2:13" ht="30" customHeight="1" x14ac:dyDescent="0.25">
      <c r="B23" s="277" t="s">
        <v>352</v>
      </c>
      <c r="C23" s="277"/>
      <c r="D23" s="277"/>
      <c r="E23" s="277"/>
      <c r="F23" s="277"/>
      <c r="G23" s="277"/>
      <c r="H23" s="277"/>
      <c r="I23" s="277"/>
      <c r="K23" s="63"/>
      <c r="L23" s="70"/>
      <c r="M23" s="70"/>
    </row>
    <row r="24" spans="2:13" ht="30" customHeight="1" x14ac:dyDescent="0.25">
      <c r="B24" s="64"/>
      <c r="C24" s="65"/>
      <c r="D24" s="65"/>
      <c r="E24" s="65"/>
      <c r="F24" s="65"/>
      <c r="G24" s="65"/>
      <c r="H24" s="65"/>
      <c r="I24" s="64"/>
      <c r="K24" s="63"/>
      <c r="L24" s="70"/>
      <c r="M24" s="70"/>
    </row>
    <row r="25" spans="2:13" ht="60" customHeight="1" x14ac:dyDescent="0.25">
      <c r="C25" s="114" t="s">
        <v>220</v>
      </c>
      <c r="D25" s="77" t="s">
        <v>412</v>
      </c>
      <c r="E25" s="116" t="s">
        <v>212</v>
      </c>
      <c r="F25" s="55" t="s">
        <v>202</v>
      </c>
      <c r="G25" s="77" t="s">
        <v>203</v>
      </c>
      <c r="H25" s="55" t="s">
        <v>204</v>
      </c>
      <c r="I25" s="68"/>
    </row>
    <row r="26" spans="2:13" ht="30" customHeight="1" x14ac:dyDescent="0.25">
      <c r="C26" s="58" t="s">
        <v>126</v>
      </c>
      <c r="D26" s="230">
        <f>'Enter data here'!F58</f>
        <v>0</v>
      </c>
      <c r="E26" s="229">
        <v>1000</v>
      </c>
      <c r="F26" s="102" t="s">
        <v>353</v>
      </c>
      <c r="G26" s="117">
        <v>0.2</v>
      </c>
      <c r="H26" s="141">
        <f>-D26*E26*G26</f>
        <v>0</v>
      </c>
      <c r="I26" s="76" t="s">
        <v>354</v>
      </c>
    </row>
    <row r="27" spans="2:13" ht="30" customHeight="1" x14ac:dyDescent="0.25">
      <c r="C27" s="58" t="s">
        <v>213</v>
      </c>
      <c r="D27" s="144"/>
      <c r="E27" s="229">
        <v>3600</v>
      </c>
      <c r="F27" s="102" t="s">
        <v>216</v>
      </c>
      <c r="G27" s="117">
        <v>0.3</v>
      </c>
      <c r="H27" s="141">
        <f>-D27*E27*G27</f>
        <v>0</v>
      </c>
      <c r="I27" s="28"/>
    </row>
    <row r="28" spans="2:13" ht="30" customHeight="1" x14ac:dyDescent="0.25">
      <c r="C28" s="58" t="s">
        <v>214</v>
      </c>
      <c r="D28" s="144"/>
      <c r="E28" s="229">
        <v>1000</v>
      </c>
      <c r="F28" s="102" t="s">
        <v>217</v>
      </c>
      <c r="G28" s="117">
        <v>0.7</v>
      </c>
      <c r="H28" s="141">
        <f>-D28*E28*G28</f>
        <v>0</v>
      </c>
      <c r="I28" s="28"/>
    </row>
    <row r="29" spans="2:13" ht="30" customHeight="1" x14ac:dyDescent="0.25">
      <c r="C29" s="146" t="s">
        <v>101</v>
      </c>
      <c r="D29" s="144"/>
      <c r="E29" s="154"/>
      <c r="F29" s="154"/>
      <c r="G29" s="154"/>
      <c r="H29" s="141">
        <f>-D29*E29*G29</f>
        <v>0</v>
      </c>
      <c r="I29" s="28"/>
    </row>
    <row r="30" spans="2:13" ht="30" customHeight="1" x14ac:dyDescent="0.25">
      <c r="I30" s="28"/>
    </row>
    <row r="31" spans="2:13" ht="60" customHeight="1" x14ac:dyDescent="0.25">
      <c r="C31" s="114" t="s">
        <v>220</v>
      </c>
      <c r="D31" s="79" t="s">
        <v>215</v>
      </c>
      <c r="E31" s="79" t="s">
        <v>411</v>
      </c>
      <c r="F31" s="55" t="s">
        <v>202</v>
      </c>
      <c r="G31" s="79" t="s">
        <v>332</v>
      </c>
      <c r="H31" s="55" t="s">
        <v>331</v>
      </c>
      <c r="I31" s="28"/>
    </row>
    <row r="32" spans="2:13" ht="45" customHeight="1" x14ac:dyDescent="0.25">
      <c r="C32" s="102" t="s">
        <v>483</v>
      </c>
      <c r="D32" s="173"/>
      <c r="E32" s="113">
        <f>'Enter data here'!F59+'Enter data here'!F58+'Enter data here'!F57</f>
        <v>0</v>
      </c>
      <c r="F32" s="102" t="s">
        <v>218</v>
      </c>
      <c r="G32" s="102">
        <v>0.05</v>
      </c>
      <c r="H32" s="113">
        <f>-E32*('Enter data here'!H87/100)*(D32/100)*G32*3.67*1000</f>
        <v>0</v>
      </c>
      <c r="I32" s="28"/>
    </row>
    <row r="33" spans="2:13" ht="45" customHeight="1" x14ac:dyDescent="0.25">
      <c r="C33" s="102" t="s">
        <v>484</v>
      </c>
      <c r="D33" s="173"/>
      <c r="E33" s="173"/>
      <c r="F33" s="102" t="s">
        <v>218</v>
      </c>
      <c r="G33" s="102">
        <v>0.9</v>
      </c>
      <c r="H33" s="243">
        <f>-E33*(D33/100)*G33*3.67*1000</f>
        <v>0</v>
      </c>
      <c r="I33" s="28"/>
    </row>
    <row r="34" spans="2:13" ht="30" customHeight="1" x14ac:dyDescent="0.25">
      <c r="I34" s="28"/>
    </row>
    <row r="35" spans="2:13" ht="30" customHeight="1" x14ac:dyDescent="0.25">
      <c r="B35" s="278" t="s">
        <v>349</v>
      </c>
      <c r="C35" s="278"/>
      <c r="D35" s="278"/>
      <c r="E35" s="278"/>
      <c r="F35" s="278"/>
      <c r="G35" s="278"/>
      <c r="H35" s="278"/>
      <c r="I35" s="278"/>
      <c r="K35" s="63"/>
      <c r="L35" s="70"/>
      <c r="M35" s="70"/>
    </row>
    <row r="36" spans="2:13" ht="30" customHeight="1" x14ac:dyDescent="0.25">
      <c r="B36" s="277" t="s">
        <v>219</v>
      </c>
      <c r="C36" s="277"/>
      <c r="D36" s="277"/>
      <c r="E36" s="277"/>
      <c r="F36" s="277"/>
      <c r="G36" s="277"/>
      <c r="H36" s="277"/>
      <c r="I36" s="277"/>
      <c r="K36" s="63"/>
      <c r="L36" s="70"/>
      <c r="M36" s="70"/>
    </row>
    <row r="37" spans="2:13" ht="30" customHeight="1" x14ac:dyDescent="0.25">
      <c r="B37" s="64"/>
      <c r="C37" s="65"/>
      <c r="D37" s="65"/>
      <c r="E37" s="65"/>
      <c r="F37" s="65"/>
      <c r="G37" s="65"/>
      <c r="H37" s="65"/>
      <c r="I37" s="64"/>
      <c r="K37" s="63"/>
      <c r="L37" s="70"/>
      <c r="M37" s="70"/>
    </row>
    <row r="38" spans="2:13" ht="60" customHeight="1" x14ac:dyDescent="0.25">
      <c r="C38" s="55" t="s">
        <v>355</v>
      </c>
      <c r="D38" s="55" t="s">
        <v>412</v>
      </c>
      <c r="E38" s="116" t="s">
        <v>221</v>
      </c>
      <c r="F38" s="55" t="s">
        <v>202</v>
      </c>
      <c r="G38" s="77" t="s">
        <v>203</v>
      </c>
      <c r="H38" s="55" t="s">
        <v>204</v>
      </c>
      <c r="I38" s="68"/>
    </row>
    <row r="39" spans="2:13" ht="30" customHeight="1" x14ac:dyDescent="0.25">
      <c r="C39" s="89" t="s">
        <v>223</v>
      </c>
      <c r="D39" s="141">
        <f>'Enter data here'!F62</f>
        <v>0</v>
      </c>
      <c r="E39" s="141">
        <f>'Enter data for chemicals here'!G66</f>
        <v>44</v>
      </c>
      <c r="F39" s="102" t="s">
        <v>222</v>
      </c>
      <c r="G39" s="88">
        <v>1</v>
      </c>
      <c r="H39" s="141">
        <f>-D39*E39*G39</f>
        <v>0</v>
      </c>
      <c r="I39" s="28"/>
    </row>
    <row r="40" spans="2:13" ht="30" customHeight="1" x14ac:dyDescent="0.25">
      <c r="C40" s="146" t="s">
        <v>101</v>
      </c>
      <c r="D40" s="144"/>
      <c r="E40" s="144"/>
      <c r="F40" s="148"/>
      <c r="G40" s="154"/>
      <c r="H40" s="141">
        <f>-D40*E40*G40</f>
        <v>0</v>
      </c>
      <c r="I40" s="28"/>
    </row>
    <row r="41" spans="2:13" ht="30" customHeight="1" x14ac:dyDescent="0.25">
      <c r="H41" s="28"/>
      <c r="I41" s="28"/>
    </row>
    <row r="42" spans="2:13" ht="30" customHeight="1" x14ac:dyDescent="0.25">
      <c r="H42" s="28"/>
      <c r="I42" s="28"/>
    </row>
    <row r="43" spans="2:13" ht="30" customHeight="1" x14ac:dyDescent="0.25">
      <c r="C43" s="118"/>
    </row>
    <row r="44" spans="2:13" ht="30" hidden="1" customHeight="1" x14ac:dyDescent="0.25">
      <c r="C44" s="118"/>
    </row>
    <row r="45" spans="2:13" ht="30" hidden="1" customHeight="1" x14ac:dyDescent="0.25">
      <c r="B45" s="118"/>
      <c r="I45" s="28"/>
    </row>
    <row r="46" spans="2:13" ht="30" hidden="1" customHeight="1" x14ac:dyDescent="0.25">
      <c r="B46" s="118"/>
      <c r="I46" s="28"/>
    </row>
    <row r="47" spans="2:13" ht="30" hidden="1" customHeight="1" x14ac:dyDescent="0.25">
      <c r="B47" s="118"/>
      <c r="I47" s="28"/>
    </row>
    <row r="48" spans="2:13" ht="30" hidden="1" customHeight="1" x14ac:dyDescent="0.25">
      <c r="B48" s="118"/>
      <c r="I48" s="28"/>
    </row>
    <row r="49" spans="2:13" ht="30" hidden="1" customHeight="1" x14ac:dyDescent="0.25">
      <c r="B49" s="118"/>
      <c r="I49" s="28"/>
    </row>
    <row r="50" spans="2:13" ht="30" hidden="1" customHeight="1" x14ac:dyDescent="0.25">
      <c r="B50" s="118"/>
      <c r="I50" s="28"/>
    </row>
    <row r="51" spans="2:13" ht="30" hidden="1" customHeight="1" x14ac:dyDescent="0.25">
      <c r="B51" s="118"/>
      <c r="I51" s="28"/>
    </row>
    <row r="52" spans="2:13" ht="30" hidden="1" customHeight="1" x14ac:dyDescent="0.25">
      <c r="B52" s="118"/>
      <c r="I52" s="28"/>
    </row>
    <row r="53" spans="2:13" ht="30" hidden="1" customHeight="1" x14ac:dyDescent="0.25">
      <c r="B53" s="118"/>
      <c r="I53" s="28"/>
    </row>
    <row r="54" spans="2:13" ht="30" hidden="1" customHeight="1" x14ac:dyDescent="0.25">
      <c r="B54" s="118"/>
      <c r="I54" s="28"/>
    </row>
    <row r="55" spans="2:13" ht="30" hidden="1" customHeight="1" x14ac:dyDescent="0.25">
      <c r="B55" s="118"/>
      <c r="I55" s="28"/>
    </row>
    <row r="56" spans="2:13" ht="30" hidden="1" customHeight="1" x14ac:dyDescent="0.25">
      <c r="B56" s="118"/>
      <c r="I56" s="28"/>
    </row>
    <row r="57" spans="2:13" ht="30" hidden="1" customHeight="1" x14ac:dyDescent="0.25">
      <c r="B57" s="118"/>
      <c r="I57" s="28"/>
    </row>
    <row r="58" spans="2:13" ht="30" hidden="1" customHeight="1" x14ac:dyDescent="0.25">
      <c r="B58" s="118"/>
      <c r="I58" s="28"/>
    </row>
    <row r="59" spans="2:13" ht="30" hidden="1" customHeight="1" x14ac:dyDescent="0.25">
      <c r="B59" s="118"/>
      <c r="I59" s="28"/>
    </row>
    <row r="60" spans="2:13" ht="30" hidden="1" customHeight="1" x14ac:dyDescent="0.25">
      <c r="I60" s="28"/>
    </row>
    <row r="61" spans="2:13" ht="30" hidden="1" customHeight="1" x14ac:dyDescent="0.25">
      <c r="B61" s="90"/>
      <c r="C61" s="28"/>
      <c r="D61" s="28"/>
      <c r="E61" s="63"/>
      <c r="F61" s="70"/>
      <c r="G61" s="93"/>
      <c r="H61" s="28"/>
      <c r="I61" s="28"/>
      <c r="K61" s="63"/>
      <c r="L61" s="70"/>
      <c r="M61" s="70"/>
    </row>
    <row r="62" spans="2:13" ht="30" hidden="1" customHeight="1" x14ac:dyDescent="0.25">
      <c r="B62" s="90"/>
      <c r="C62" s="91"/>
      <c r="D62" s="91"/>
      <c r="E62" s="92"/>
      <c r="F62" s="70"/>
      <c r="G62" s="93"/>
      <c r="H62" s="28"/>
      <c r="I62" s="28"/>
      <c r="K62" s="63" t="e">
        <f>'Benefits from by-products'!#REF!</f>
        <v>#REF!</v>
      </c>
      <c r="L62" s="70" t="e">
        <f>'Benefits from by-products'!#REF!*'Benefits from by-products'!#REF!</f>
        <v>#REF!</v>
      </c>
      <c r="M62" s="70" t="e">
        <f>'Benefits from by-products'!#REF!*'Benefits from by-products'!#REF!</f>
        <v>#REF!</v>
      </c>
    </row>
    <row r="63" spans="2:13" ht="30" hidden="1" customHeight="1" x14ac:dyDescent="0.25">
      <c r="B63" s="90"/>
      <c r="C63" s="91"/>
      <c r="D63" s="91"/>
      <c r="E63" s="92"/>
      <c r="F63" s="70"/>
      <c r="G63" s="93"/>
      <c r="H63" s="28"/>
      <c r="I63" s="28"/>
      <c r="K63" s="63" t="e">
        <f>'Benefits from by-products'!#REF!</f>
        <v>#REF!</v>
      </c>
      <c r="L63" s="70" t="e">
        <f>'Benefits from by-products'!#REF!*'Benefits from by-products'!#REF!</f>
        <v>#REF!</v>
      </c>
      <c r="M63" s="70" t="e">
        <f>'Benefits from by-products'!#REF!*'Benefits from by-products'!#REF!</f>
        <v>#REF!</v>
      </c>
    </row>
    <row r="64" spans="2:13" ht="30" hidden="1" customHeight="1" x14ac:dyDescent="0.25">
      <c r="B64" s="90"/>
      <c r="C64" s="91"/>
      <c r="D64" s="91"/>
      <c r="E64" s="92"/>
      <c r="F64" s="70"/>
      <c r="G64" s="93"/>
      <c r="H64" s="28"/>
      <c r="I64" s="28"/>
      <c r="K64" s="63" t="e">
        <f>'Benefits from by-products'!#REF!</f>
        <v>#REF!</v>
      </c>
      <c r="L64" s="70" t="e">
        <f>'Benefits from by-products'!#REF!*'Benefits from by-products'!#REF!</f>
        <v>#REF!</v>
      </c>
      <c r="M64" s="70" t="e">
        <f>'Benefits from by-products'!#REF!*'Benefits from by-products'!#REF!</f>
        <v>#REF!</v>
      </c>
    </row>
    <row r="65" spans="2:13" ht="30" hidden="1" customHeight="1" x14ac:dyDescent="0.25">
      <c r="B65" s="90"/>
      <c r="C65" s="91"/>
      <c r="D65" s="91"/>
      <c r="E65" s="92"/>
      <c r="F65" s="70"/>
      <c r="G65" s="93"/>
      <c r="H65" s="28"/>
      <c r="I65" s="28"/>
      <c r="K65" s="63" t="e">
        <f>'Benefits from by-products'!#REF!</f>
        <v>#REF!</v>
      </c>
      <c r="L65" s="70" t="e">
        <f>'Benefits from by-products'!#REF!*'Benefits from by-products'!#REF!</f>
        <v>#REF!</v>
      </c>
      <c r="M65" s="70" t="e">
        <f>'Benefits from by-products'!#REF!*'Benefits from by-products'!#REF!</f>
        <v>#REF!</v>
      </c>
    </row>
    <row r="66" spans="2:13" ht="30" hidden="1" customHeight="1" x14ac:dyDescent="0.25">
      <c r="B66" s="90"/>
      <c r="C66" s="91"/>
      <c r="D66" s="91"/>
      <c r="E66" s="92"/>
      <c r="F66" s="70"/>
      <c r="G66" s="93"/>
      <c r="H66" s="28"/>
      <c r="I66" s="28"/>
      <c r="K66" s="63" t="e">
        <f>'Benefits from by-products'!#REF!</f>
        <v>#REF!</v>
      </c>
      <c r="L66" s="70" t="e">
        <f>'Benefits from by-products'!#REF!*'Benefits from by-products'!#REF!</f>
        <v>#REF!</v>
      </c>
      <c r="M66" s="70" t="e">
        <f>'Benefits from by-products'!#REF!*'Benefits from by-products'!#REF!</f>
        <v>#REF!</v>
      </c>
    </row>
    <row r="67" spans="2:13" ht="30" hidden="1" customHeight="1" x14ac:dyDescent="0.25">
      <c r="B67" s="90"/>
      <c r="C67" s="91"/>
      <c r="D67" s="91"/>
      <c r="E67" s="92"/>
      <c r="F67" s="70"/>
      <c r="G67" s="93"/>
      <c r="H67" s="28"/>
      <c r="I67" s="28"/>
    </row>
    <row r="68" spans="2:13" ht="30" hidden="1" customHeight="1" x14ac:dyDescent="0.25">
      <c r="B68" s="90"/>
      <c r="C68" s="91"/>
      <c r="D68" s="91"/>
      <c r="E68" s="92"/>
      <c r="F68" s="70"/>
      <c r="G68" s="93"/>
      <c r="H68" s="28"/>
      <c r="I68" s="28"/>
    </row>
    <row r="69" spans="2:13" ht="30" hidden="1" customHeight="1" x14ac:dyDescent="0.25">
      <c r="B69" s="90"/>
      <c r="C69" s="91"/>
      <c r="D69" s="91"/>
      <c r="E69" s="92"/>
      <c r="F69" s="70"/>
      <c r="G69" s="93"/>
      <c r="H69" s="28"/>
      <c r="I69" s="28"/>
    </row>
    <row r="70" spans="2:13" ht="30" hidden="1" customHeight="1" x14ac:dyDescent="0.25">
      <c r="B70" s="90"/>
      <c r="C70" s="91"/>
      <c r="D70" s="91"/>
      <c r="E70" s="92"/>
      <c r="F70" s="70"/>
      <c r="G70" s="93"/>
      <c r="H70" s="28"/>
      <c r="I70" s="28"/>
    </row>
    <row r="71" spans="2:13" ht="30" hidden="1" customHeight="1" x14ac:dyDescent="0.25">
      <c r="B71" s="90"/>
      <c r="C71" s="91"/>
      <c r="D71" s="91"/>
      <c r="E71" s="92"/>
      <c r="F71" s="70"/>
      <c r="G71" s="93"/>
      <c r="H71" s="28"/>
      <c r="I71" s="28"/>
    </row>
    <row r="72" spans="2:13" ht="30" hidden="1" customHeight="1" x14ac:dyDescent="0.25">
      <c r="B72" s="90"/>
      <c r="C72" s="91"/>
      <c r="D72" s="91"/>
      <c r="E72" s="92"/>
      <c r="F72" s="70"/>
      <c r="G72" s="93"/>
      <c r="H72" s="28"/>
      <c r="I72" s="28"/>
    </row>
    <row r="73" spans="2:13" ht="30" hidden="1" customHeight="1" x14ac:dyDescent="0.25">
      <c r="B73" s="90"/>
      <c r="C73" s="91"/>
      <c r="D73" s="91"/>
      <c r="E73" s="92"/>
      <c r="F73" s="70"/>
      <c r="G73" s="93"/>
      <c r="H73" s="28"/>
      <c r="I73" s="28"/>
    </row>
    <row r="74" spans="2:13" ht="30" hidden="1" customHeight="1" x14ac:dyDescent="0.25">
      <c r="E74" s="25"/>
      <c r="F74" s="25"/>
      <c r="G74" s="63"/>
      <c r="H74" s="28"/>
      <c r="I74" s="28"/>
    </row>
    <row r="75" spans="2:13" ht="15" hidden="1" customHeight="1" x14ac:dyDescent="0.25"/>
    <row r="76" spans="2:13" ht="15" hidden="1" customHeight="1" x14ac:dyDescent="0.25"/>
  </sheetData>
  <sheetProtection sheet="1" objects="1" scenarios="1"/>
  <dataConsolidate/>
  <mergeCells count="12">
    <mergeCell ref="B35:I35"/>
    <mergeCell ref="B36:I36"/>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E45:E73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6"/>
  <sheetViews>
    <sheetView showGridLines="0" topLeftCell="A2" zoomScale="90" zoomScaleNormal="90" workbookViewId="0">
      <selection activeCell="C3" sqref="C3:J3"/>
    </sheetView>
  </sheetViews>
  <sheetFormatPr defaultColWidth="0" defaultRowHeight="0" customHeight="1" zeroHeight="1" x14ac:dyDescent="0.25"/>
  <cols>
    <col min="1" max="1" width="8.7109375" customWidth="1"/>
    <col min="2" max="4" width="25.7109375" customWidth="1"/>
    <col min="5" max="5" width="25.28515625" customWidth="1"/>
    <col min="6" max="7" width="25.7109375" customWidth="1"/>
    <col min="8" max="8" width="26.5703125" customWidth="1"/>
    <col min="9" max="9" width="27.42578125" customWidth="1"/>
    <col min="10" max="11" width="25.7109375" customWidth="1"/>
    <col min="12" max="12" width="8.7109375" customWidth="1"/>
    <col min="13" max="19" width="0" hidden="1" customWidth="1"/>
    <col min="20" max="16384" width="8.7109375" hidden="1"/>
  </cols>
  <sheetData>
    <row r="1" spans="2:11" ht="15" hidden="1" x14ac:dyDescent="0.25"/>
    <row r="2" spans="2:11" ht="33" customHeight="1" x14ac:dyDescent="0.25">
      <c r="C2" s="24"/>
    </row>
    <row r="3" spans="2:11" ht="33" customHeight="1" x14ac:dyDescent="0.25">
      <c r="C3" s="345" t="s">
        <v>224</v>
      </c>
      <c r="D3" s="345"/>
      <c r="E3" s="345"/>
      <c r="F3" s="345"/>
      <c r="G3" s="345"/>
      <c r="H3" s="345"/>
      <c r="I3" s="345"/>
      <c r="J3" s="345"/>
      <c r="K3" s="94"/>
    </row>
    <row r="4" spans="2:11" ht="33" customHeight="1" x14ac:dyDescent="0.25">
      <c r="C4" s="94"/>
      <c r="D4" s="94"/>
      <c r="E4" s="94"/>
      <c r="F4" s="94"/>
      <c r="G4" s="94"/>
      <c r="H4" s="94"/>
      <c r="I4" s="94"/>
      <c r="J4" s="94"/>
      <c r="K4" s="94"/>
    </row>
    <row r="5" spans="2:11" ht="33" customHeight="1" x14ac:dyDescent="0.25">
      <c r="C5" s="69"/>
      <c r="D5" s="350" t="s">
        <v>357</v>
      </c>
      <c r="E5" s="350"/>
      <c r="F5" s="350"/>
      <c r="G5" s="350"/>
      <c r="H5" s="350"/>
      <c r="I5" s="350"/>
      <c r="J5" s="69"/>
      <c r="K5" s="69"/>
    </row>
    <row r="6" spans="2:11" ht="32.25" customHeight="1" x14ac:dyDescent="0.25">
      <c r="C6" s="69"/>
      <c r="D6" s="346" t="s">
        <v>524</v>
      </c>
      <c r="E6" s="347"/>
      <c r="F6" s="346" t="s">
        <v>225</v>
      </c>
      <c r="G6" s="347"/>
      <c r="H6" s="346" t="s">
        <v>226</v>
      </c>
      <c r="I6" s="347"/>
      <c r="J6" s="72"/>
      <c r="K6" s="72"/>
    </row>
    <row r="7" spans="2:11" ht="33" customHeight="1" x14ac:dyDescent="0.25">
      <c r="C7" s="69"/>
      <c r="D7" s="348" t="str">
        <f>IFERROR(((K14*1000)/'Enter data here'!G8), "Enter the number of cubic metres of treated water under the previous tab")</f>
        <v>Enter the number of cubic metres of treated water under the previous tab</v>
      </c>
      <c r="E7" s="349"/>
      <c r="F7" s="348" t="str">
        <f>IFERROR(((K14*1000)/'Enter data here'!H8), "Enter the amount of reduced nitrogen under the previous tab")</f>
        <v>Enter the amount of reduced nitrogen under the previous tab</v>
      </c>
      <c r="G7" s="349"/>
      <c r="H7" s="348" t="str">
        <f>IFERROR(((K14*1000)/'Enter data here'!I8), "Enter the number of person equivalents in the previous tab")</f>
        <v>Enter the number of person equivalents in the previous tab</v>
      </c>
      <c r="I7" s="349"/>
      <c r="J7" s="69"/>
      <c r="K7" s="69"/>
    </row>
    <row r="8" spans="2:11" ht="33" customHeight="1" x14ac:dyDescent="0.25">
      <c r="C8" s="69"/>
      <c r="D8" s="95"/>
      <c r="E8" s="95"/>
      <c r="F8" s="95"/>
      <c r="G8" s="95"/>
      <c r="H8" s="78"/>
      <c r="I8" s="78"/>
      <c r="J8" s="69"/>
      <c r="K8" s="69"/>
    </row>
    <row r="9" spans="2:11" ht="33" customHeight="1" x14ac:dyDescent="0.25">
      <c r="C9" s="69"/>
      <c r="D9" s="272" t="s">
        <v>356</v>
      </c>
      <c r="E9" s="272"/>
      <c r="F9" s="272"/>
      <c r="G9" s="272"/>
      <c r="H9" s="272"/>
      <c r="I9" s="272"/>
      <c r="J9" s="69"/>
      <c r="K9" s="69"/>
    </row>
    <row r="10" spans="2:11" ht="33" customHeight="1" x14ac:dyDescent="0.25">
      <c r="C10" s="69"/>
      <c r="D10" s="346" t="s">
        <v>525</v>
      </c>
      <c r="E10" s="347"/>
      <c r="F10" s="346" t="s">
        <v>526</v>
      </c>
      <c r="G10" s="347"/>
      <c r="H10" s="352" t="s">
        <v>527</v>
      </c>
      <c r="I10" s="352"/>
      <c r="J10" s="69"/>
      <c r="K10" s="69"/>
    </row>
    <row r="11" spans="2:11" ht="33" customHeight="1" x14ac:dyDescent="0.25">
      <c r="C11" s="69"/>
      <c r="D11" s="353" t="str">
        <f>IFERROR(((K14*1000)/'Enter data here'!C8), "Enter the number of cubic metres of raw water intake in the previous tab")</f>
        <v>Enter the number of cubic metres of raw water intake in the previous tab</v>
      </c>
      <c r="E11" s="354"/>
      <c r="F11" s="353" t="str">
        <f>IFERROR(((K14*1000)/'Enter data here'!D8), "Enter the number of cubic metres of produced drinking water in the previous tab")</f>
        <v>Enter the number of cubic metres of produced drinking water in the previous tab</v>
      </c>
      <c r="G11" s="354"/>
      <c r="H11" s="355" t="str">
        <f>IFERROR(((K14*1000)/'Enter data here'!E8), "Enter the number of cubic meters of consumed drinking water in the previous tab")</f>
        <v>Enter the number of cubic meters of consumed drinking water in the previous tab</v>
      </c>
      <c r="I11" s="355"/>
      <c r="J11" s="69"/>
      <c r="K11" s="69"/>
    </row>
    <row r="12" spans="2:11" ht="33" customHeight="1" x14ac:dyDescent="0.25">
      <c r="C12" s="69"/>
      <c r="D12" s="171"/>
      <c r="E12" s="171"/>
      <c r="F12" s="69"/>
      <c r="G12" s="69"/>
      <c r="H12" s="172"/>
      <c r="I12" s="172"/>
      <c r="J12" s="69"/>
      <c r="K12" s="69"/>
    </row>
    <row r="13" spans="2:11" ht="66" customHeight="1" x14ac:dyDescent="0.25">
      <c r="B13" s="81" t="s">
        <v>227</v>
      </c>
      <c r="C13" s="81" t="s">
        <v>228</v>
      </c>
      <c r="D13" s="81" t="s">
        <v>229</v>
      </c>
      <c r="E13" s="81" t="s">
        <v>230</v>
      </c>
      <c r="F13" s="82" t="s">
        <v>231</v>
      </c>
      <c r="G13" s="81" t="s">
        <v>232</v>
      </c>
      <c r="H13" s="81" t="s">
        <v>233</v>
      </c>
      <c r="I13" s="81" t="s">
        <v>234</v>
      </c>
      <c r="J13" s="81" t="s">
        <v>235</v>
      </c>
      <c r="K13" s="175" t="s">
        <v>236</v>
      </c>
    </row>
    <row r="14" spans="2:11" ht="33" customHeight="1" x14ac:dyDescent="0.25">
      <c r="B14" s="170">
        <f>(SUM(E33:E38)+SUM(E41:E49))/1000</f>
        <v>0</v>
      </c>
      <c r="C14" s="170">
        <f>(I49+I50+I54+I52)/1000</f>
        <v>0</v>
      </c>
      <c r="D14" s="170">
        <f>(I48+I51+I53+SUM(I40:I41)+SUM(I43:I45))/1000</f>
        <v>0</v>
      </c>
      <c r="E14" s="170">
        <f>(SUM(E58:E65))/1000</f>
        <v>0</v>
      </c>
      <c r="F14" s="170">
        <f>(SUM(D24:D30)+SUM(E24:E30)+SUM(D33:D38))/1000</f>
        <v>0</v>
      </c>
      <c r="G14" s="170">
        <f>(SUM(D41:D49))/1000</f>
        <v>0</v>
      </c>
      <c r="H14" s="170">
        <f>(SUM(D90:D92)+SUM(I61:I87)+SUM(D68:D87)+SUM(D58:D65)+I58)/1000</f>
        <v>0</v>
      </c>
      <c r="I14" s="170">
        <f>(SUM(J24:J37)+SUM(E90:E92)+SUM(J61:J87)+SUM(E68:E87)+SUM(F58:F65))/1000</f>
        <v>0</v>
      </c>
      <c r="J14" s="170">
        <f>(SUM(I24:I37))/1000+I42/1000</f>
        <v>0</v>
      </c>
      <c r="K14" s="170">
        <f>SUM(B14:J14)</f>
        <v>0</v>
      </c>
    </row>
    <row r="15" spans="2:11" ht="24.95" customHeight="1" x14ac:dyDescent="0.25">
      <c r="B15" s="170" t="s">
        <v>413</v>
      </c>
      <c r="C15" s="170" t="s">
        <v>413</v>
      </c>
      <c r="D15" s="170" t="s">
        <v>413</v>
      </c>
      <c r="E15" s="170" t="s">
        <v>413</v>
      </c>
      <c r="F15" s="170" t="s">
        <v>413</v>
      </c>
      <c r="G15" s="170" t="s">
        <v>413</v>
      </c>
      <c r="H15" s="170" t="s">
        <v>413</v>
      </c>
      <c r="I15" s="170" t="s">
        <v>413</v>
      </c>
      <c r="J15" s="170" t="s">
        <v>413</v>
      </c>
      <c r="K15" s="170" t="s">
        <v>413</v>
      </c>
    </row>
    <row r="16" spans="2:11" ht="33" customHeight="1" x14ac:dyDescent="0.25">
      <c r="C16" s="80"/>
      <c r="D16" s="80"/>
      <c r="E16" s="83"/>
      <c r="F16" s="80"/>
      <c r="G16" s="80"/>
      <c r="H16" s="80"/>
      <c r="I16" s="80"/>
      <c r="J16" s="80"/>
      <c r="K16" s="80"/>
    </row>
    <row r="17" spans="1:11" ht="66" customHeight="1" x14ac:dyDescent="0.25">
      <c r="C17" s="80"/>
      <c r="D17" s="81" t="s">
        <v>237</v>
      </c>
      <c r="E17" s="82" t="s">
        <v>238</v>
      </c>
      <c r="F17" s="81" t="s">
        <v>358</v>
      </c>
      <c r="G17" s="81" t="s">
        <v>359</v>
      </c>
      <c r="H17" s="80"/>
      <c r="I17" s="81" t="s">
        <v>239</v>
      </c>
      <c r="K17" s="80"/>
    </row>
    <row r="18" spans="1:11" ht="33" customHeight="1" x14ac:dyDescent="0.25">
      <c r="C18" s="80"/>
      <c r="D18" s="170">
        <f>SUM(B14:E14)</f>
        <v>0</v>
      </c>
      <c r="E18" s="170">
        <f>F14</f>
        <v>0</v>
      </c>
      <c r="F18" s="170">
        <f>SUM(G14:I14)-(SUM(J24:J37))/1000</f>
        <v>0</v>
      </c>
      <c r="G18" s="170">
        <f>J14+(SUM(J24:J37))/1000</f>
        <v>0</v>
      </c>
      <c r="H18" s="80"/>
      <c r="I18" s="356" t="str">
        <f>'Benefits from by-products'!H9</f>
        <v>Enter data in input tabs</v>
      </c>
      <c r="K18" s="80"/>
    </row>
    <row r="19" spans="1:11" ht="24.95" customHeight="1" x14ac:dyDescent="0.25">
      <c r="C19" s="80"/>
      <c r="D19" s="170" t="s">
        <v>413</v>
      </c>
      <c r="E19" s="170" t="s">
        <v>413</v>
      </c>
      <c r="F19" s="170" t="s">
        <v>413</v>
      </c>
      <c r="G19" s="170" t="s">
        <v>413</v>
      </c>
      <c r="H19" s="80"/>
      <c r="I19" s="356"/>
      <c r="K19" s="80"/>
    </row>
    <row r="20" spans="1:11" ht="33" customHeight="1" x14ac:dyDescent="0.25">
      <c r="C20" s="80"/>
      <c r="D20" s="83"/>
      <c r="E20" s="80"/>
      <c r="F20" s="80"/>
      <c r="G20" s="80"/>
      <c r="H20" s="80"/>
      <c r="I20" s="80"/>
      <c r="K20" s="80"/>
    </row>
    <row r="21" spans="1:11" ht="33" customHeight="1" x14ac:dyDescent="0.25">
      <c r="B21" s="351" t="s">
        <v>240</v>
      </c>
      <c r="C21" s="351"/>
      <c r="D21" s="351"/>
      <c r="E21" s="351"/>
      <c r="F21" s="351"/>
      <c r="G21" s="351"/>
      <c r="H21" s="351"/>
      <c r="I21" s="351"/>
      <c r="J21" s="351"/>
      <c r="K21" s="351"/>
    </row>
    <row r="22" spans="1:11" ht="33" customHeight="1" x14ac:dyDescent="0.25">
      <c r="C22" s="66"/>
      <c r="D22" s="66"/>
      <c r="E22" s="66"/>
      <c r="F22" s="66"/>
      <c r="G22" s="66"/>
      <c r="H22" s="66"/>
      <c r="I22" s="66"/>
      <c r="J22" s="66"/>
      <c r="K22" s="66"/>
    </row>
    <row r="23" spans="1:11" ht="33" customHeight="1" x14ac:dyDescent="0.25">
      <c r="C23" s="54" t="s">
        <v>241</v>
      </c>
      <c r="D23" s="77" t="s">
        <v>360</v>
      </c>
      <c r="E23" s="77" t="s">
        <v>243</v>
      </c>
      <c r="G23" s="54" t="s">
        <v>247</v>
      </c>
      <c r="H23" s="54" t="s">
        <v>248</v>
      </c>
      <c r="I23" s="77" t="s">
        <v>249</v>
      </c>
      <c r="J23" s="77" t="s">
        <v>250</v>
      </c>
    </row>
    <row r="24" spans="1:11" ht="33" customHeight="1" x14ac:dyDescent="0.25">
      <c r="A24" s="23"/>
      <c r="B24" s="23"/>
      <c r="C24" s="58" t="str">
        <f>'Enter data here'!D14</f>
        <v>Nordic residual mix</v>
      </c>
      <c r="D24" s="88">
        <f>'Enter data here'!E14*'Enter data here'!G14</f>
        <v>0</v>
      </c>
      <c r="E24" s="88">
        <f>'Enter data here'!F14*'Enter data here'!G14</f>
        <v>0</v>
      </c>
      <c r="G24" s="340" t="s">
        <v>52</v>
      </c>
      <c r="H24" s="157" t="str">
        <f>'Enter data here'!E50</f>
        <v>Recycling</v>
      </c>
      <c r="I24" s="88">
        <f>'Enter data here'!F50*'Enter data here'!I50</f>
        <v>0</v>
      </c>
      <c r="J24" s="88">
        <f>('Enter data here'!F50*'Enter data here'!G50)*'Enter data here'!J50</f>
        <v>0</v>
      </c>
    </row>
    <row r="25" spans="1:11" ht="30" customHeight="1" x14ac:dyDescent="0.25">
      <c r="C25" s="58" t="str">
        <f>'Enter data here'!D15</f>
        <v>Hydropower</v>
      </c>
      <c r="D25" s="88">
        <f>'Enter data here'!E15*'Enter data here'!G15</f>
        <v>0</v>
      </c>
      <c r="E25" s="88">
        <f>'Enter data here'!F15*'Enter data here'!G15</f>
        <v>0</v>
      </c>
      <c r="G25" s="341"/>
      <c r="H25" s="157" t="str">
        <f>'Enter data here'!E51</f>
        <v>Landfill</v>
      </c>
      <c r="I25" s="88">
        <f>'Enter data here'!F51*'Enter data here'!I51</f>
        <v>0</v>
      </c>
      <c r="J25" s="88">
        <f>('Enter data here'!F51*'Enter data here'!G51)*'Enter data here'!J51</f>
        <v>0</v>
      </c>
    </row>
    <row r="26" spans="1:11" ht="30" customHeight="1" x14ac:dyDescent="0.25">
      <c r="C26" s="58" t="str">
        <f>'Enter data here'!D16</f>
        <v>Wind power</v>
      </c>
      <c r="D26" s="88">
        <f>'Enter data here'!E16*'Enter data here'!G16</f>
        <v>0</v>
      </c>
      <c r="E26" s="88">
        <f>'Enter data here'!F16*'Enter data here'!G16</f>
        <v>0</v>
      </c>
      <c r="G26" s="340" t="s">
        <v>251</v>
      </c>
      <c r="H26" s="157" t="str">
        <f>'Enter data here'!E52</f>
        <v>Reactivation*</v>
      </c>
      <c r="I26" s="88">
        <f>'Enter data here'!F52*'Enter data here'!I52</f>
        <v>0</v>
      </c>
      <c r="J26" s="88">
        <f>('Enter data here'!F52*'Enter data here'!G52)*'Enter data here'!J52</f>
        <v>0</v>
      </c>
    </row>
    <row r="27" spans="1:11" ht="30" customHeight="1" x14ac:dyDescent="0.25">
      <c r="C27" s="58" t="str">
        <f>'Enter data here'!D17</f>
        <v>Solar power</v>
      </c>
      <c r="D27" s="88">
        <f>'Enter data here'!E17*'Enter data here'!G17</f>
        <v>0</v>
      </c>
      <c r="E27" s="88">
        <f>'Enter data here'!F17*'Enter data here'!G17</f>
        <v>0</v>
      </c>
      <c r="G27" s="341"/>
      <c r="H27" s="157" t="str">
        <f>'Enter data here'!E53</f>
        <v>Incineration</v>
      </c>
      <c r="I27" s="88">
        <f>'Enter data here'!F53*'Enter data here'!I53</f>
        <v>0</v>
      </c>
      <c r="J27" s="88">
        <f>('Enter data here'!F53*'Enter data here'!G53)*'Enter data here'!J53</f>
        <v>0</v>
      </c>
    </row>
    <row r="28" spans="1:11" ht="30" customHeight="1" x14ac:dyDescent="0.25">
      <c r="C28" s="58" t="str">
        <f>'Enter data here'!D18</f>
        <v>Nuclear power</v>
      </c>
      <c r="D28" s="88">
        <f>'Enter data here'!E18*'Enter data here'!G18</f>
        <v>0</v>
      </c>
      <c r="E28" s="88">
        <f>'Enter data here'!F18*'Enter data here'!G18</f>
        <v>0</v>
      </c>
      <c r="G28" s="157" t="s">
        <v>339</v>
      </c>
      <c r="H28" s="157" t="str">
        <f>'Enter data here'!E54</f>
        <v>Incineration</v>
      </c>
      <c r="I28" s="88">
        <f>'Enter data here'!F54*'Enter data here'!I54</f>
        <v>0</v>
      </c>
      <c r="J28" s="88">
        <f>('Enter data here'!F54*'Enter data here'!G54)*'Enter data here'!J54</f>
        <v>0</v>
      </c>
    </row>
    <row r="29" spans="1:11" ht="30" customHeight="1" x14ac:dyDescent="0.25">
      <c r="C29" s="58" t="str">
        <f>'Enter data here'!D19</f>
        <v>Biogas, 
internally produced</v>
      </c>
      <c r="D29" s="88">
        <f>'Enter data here'!E19*'Enter data here'!G19</f>
        <v>0</v>
      </c>
      <c r="E29" s="88">
        <f>'Enter data here'!F19*'Enter data here'!G19</f>
        <v>0</v>
      </c>
      <c r="F29" s="70"/>
      <c r="G29" s="342" t="s">
        <v>350</v>
      </c>
      <c r="H29" s="157" t="str">
        <f>'Enter data here'!E55</f>
        <v>Treatment of undigested sludge in other WWTP**</v>
      </c>
      <c r="I29" s="88">
        <f>'Enter data here'!F55*('Enter data here'!$H$87/100)*'Enter data here'!I55</f>
        <v>0</v>
      </c>
      <c r="J29" s="88">
        <f>('Enter data here'!F55*'Enter data here'!G55)*'Enter data here'!J55</f>
        <v>0</v>
      </c>
    </row>
    <row r="30" spans="1:11" ht="30" customHeight="1" x14ac:dyDescent="0.25">
      <c r="C30" s="104" t="str">
        <f>'Enter data here'!D20</f>
        <v>Other</v>
      </c>
      <c r="D30" s="88">
        <f>'Enter data here'!E20*'Enter data here'!G20</f>
        <v>0</v>
      </c>
      <c r="E30" s="88">
        <f>'Enter data here'!F20*'Enter data here'!G20</f>
        <v>0</v>
      </c>
      <c r="F30" s="70"/>
      <c r="G30" s="343"/>
      <c r="H30" s="157" t="str">
        <f>'Enter data here'!E56</f>
        <v>Incineration</v>
      </c>
      <c r="I30" s="88">
        <f>'Enter data here'!F56*('Enter data here'!$H$87/100)*'Enter data here'!I56</f>
        <v>0</v>
      </c>
      <c r="J30" s="88">
        <f>('Enter data here'!F56*'Enter data here'!G56)*'Enter data here'!J56</f>
        <v>0</v>
      </c>
    </row>
    <row r="31" spans="1:11" ht="30" customHeight="1" x14ac:dyDescent="0.25">
      <c r="C31" s="70"/>
      <c r="D31" s="70"/>
      <c r="E31" s="70"/>
      <c r="F31" s="25"/>
      <c r="G31" s="343"/>
      <c r="H31" s="157" t="str">
        <f>'Enter data here'!E57</f>
        <v>Landfill coverage</v>
      </c>
      <c r="I31" s="88">
        <f>'Enter data here'!F57*('Enter data here'!$H$87/100)*'Enter data here'!I57</f>
        <v>0</v>
      </c>
      <c r="J31" s="88">
        <f>('Enter data here'!F57*'Enter data here'!G57)*'Enter data here'!J57</f>
        <v>0</v>
      </c>
    </row>
    <row r="32" spans="1:11" ht="30" customHeight="1" x14ac:dyDescent="0.25">
      <c r="C32" s="54" t="s">
        <v>244</v>
      </c>
      <c r="D32" s="79" t="s">
        <v>245</v>
      </c>
      <c r="E32" s="79" t="s">
        <v>246</v>
      </c>
      <c r="F32" s="25"/>
      <c r="G32" s="343"/>
      <c r="H32" s="157" t="str">
        <f>'Enter data here'!E58</f>
        <v>Soil production</v>
      </c>
      <c r="I32" s="88">
        <f>'Enter data here'!F58*('Enter data here'!$H$87/100)*'Enter data here'!I58</f>
        <v>0</v>
      </c>
      <c r="J32" s="88">
        <f>('Enter data here'!F58*'Enter data here'!G58)*'Enter data here'!J58</f>
        <v>0</v>
      </c>
    </row>
    <row r="33" spans="3:11" ht="30" customHeight="1" x14ac:dyDescent="0.25">
      <c r="C33" s="58" t="str">
        <f>'Enter data here'!D23</f>
        <v>Fuel oil</v>
      </c>
      <c r="D33" s="88">
        <f>'Enter data here'!E23*'Enter data here'!F23</f>
        <v>0</v>
      </c>
      <c r="E33" s="88">
        <f>'Enter data here'!E23*'Enter data here'!G23</f>
        <v>0</v>
      </c>
      <c r="F33" s="25"/>
      <c r="G33" s="344"/>
      <c r="H33" s="157" t="str">
        <f>'Enter data here'!E59</f>
        <v>Spreading on arable land</v>
      </c>
      <c r="I33" s="88">
        <f>'Enter data here'!F59*('Enter data here'!$H$87/100)*'Enter data here'!I59</f>
        <v>0</v>
      </c>
      <c r="J33" s="88">
        <f>('Enter data here'!F59*'Enter data here'!G59)*'Enter data here'!J59</f>
        <v>0</v>
      </c>
    </row>
    <row r="34" spans="3:11" ht="30" customHeight="1" x14ac:dyDescent="0.25">
      <c r="C34" s="58" t="str">
        <f>'Enter data here'!D24</f>
        <v>Natural gas
(also city gas and LPG)</v>
      </c>
      <c r="D34" s="88">
        <f>'Enter data here'!E24*'Enter data here'!F24</f>
        <v>0</v>
      </c>
      <c r="E34" s="88">
        <f>'Enter data here'!E24*'Enter data here'!G24</f>
        <v>0</v>
      </c>
      <c r="F34" s="25"/>
      <c r="G34" s="342" t="s">
        <v>361</v>
      </c>
      <c r="H34" s="157" t="str">
        <f>'Enter data here'!E60</f>
        <v>Recycling</v>
      </c>
      <c r="I34" s="88">
        <f>'Enter data here'!F60*'Enter data here'!I60</f>
        <v>0</v>
      </c>
      <c r="J34" s="88">
        <f>('Enter data here'!F60*'Enter data here'!G60)*'Enter data here'!J60</f>
        <v>0</v>
      </c>
    </row>
    <row r="35" spans="3:11" ht="30" customHeight="1" x14ac:dyDescent="0.25">
      <c r="C35" s="58" t="str">
        <f>'Enter data here'!D25</f>
        <v>Biogas, 
internally produced</v>
      </c>
      <c r="D35" s="88">
        <f>'Enter data here'!E25*'Enter data here'!F25</f>
        <v>0</v>
      </c>
      <c r="E35" s="88">
        <f>'Enter data here'!E25*'Enter data here'!G25</f>
        <v>0</v>
      </c>
      <c r="F35" s="25"/>
      <c r="G35" s="344"/>
      <c r="H35" s="157" t="str">
        <f>'Enter data here'!E61</f>
        <v>Landfill</v>
      </c>
      <c r="I35" s="88">
        <f>'Enter data here'!F61*'Enter data here'!I61</f>
        <v>0</v>
      </c>
      <c r="J35" s="88">
        <f>('Enter data here'!F61*'Enter data here'!G61)*'Enter data here'!J61</f>
        <v>0</v>
      </c>
    </row>
    <row r="36" spans="3:11" ht="30" customHeight="1" x14ac:dyDescent="0.25">
      <c r="C36" s="58" t="str">
        <f>'Enter data here'!D26</f>
        <v>District heating, local environmental values*</v>
      </c>
      <c r="D36" s="88">
        <f>'Enter data here'!E26*'Enter data here'!F26</f>
        <v>0</v>
      </c>
      <c r="E36" s="88">
        <f>'Enter data here'!E26*'Enter data here'!G26</f>
        <v>0</v>
      </c>
      <c r="F36" s="25"/>
      <c r="G36" s="340" t="s">
        <v>252</v>
      </c>
      <c r="H36" s="157" t="str">
        <f>'Enter data here'!E62</f>
        <v>Recycling</v>
      </c>
      <c r="I36" s="88">
        <f>'Enter data here'!F62*'Enter data here'!I62</f>
        <v>0</v>
      </c>
      <c r="J36" s="88">
        <f>('Enter data here'!F62*'Enter data here'!G62)*'Enter data here'!J62</f>
        <v>0</v>
      </c>
    </row>
    <row r="37" spans="3:11" ht="30" customHeight="1" x14ac:dyDescent="0.25">
      <c r="C37" s="58" t="str">
        <f>'Enter data here'!D27</f>
        <v>District cooling, local environmental values**</v>
      </c>
      <c r="D37" s="88">
        <f>'Enter data here'!E27*'Enter data here'!F27</f>
        <v>0</v>
      </c>
      <c r="E37" s="88">
        <f>'Enter data here'!E27*'Enter data here'!G27</f>
        <v>0</v>
      </c>
      <c r="F37" s="25"/>
      <c r="G37" s="341"/>
      <c r="H37" s="157" t="str">
        <f>'Enter data here'!E63</f>
        <v>Landfill</v>
      </c>
      <c r="I37" s="88">
        <f>'Enter data here'!F63*'Enter data here'!I63</f>
        <v>0</v>
      </c>
      <c r="J37" s="88">
        <f>('Enter data here'!F63*'Enter data here'!G63)*'Enter data here'!J63</f>
        <v>0</v>
      </c>
    </row>
    <row r="38" spans="3:11" ht="30" customHeight="1" x14ac:dyDescent="0.25">
      <c r="C38" s="104" t="str">
        <f>'Enter data here'!D28</f>
        <v>Other</v>
      </c>
      <c r="D38" s="88">
        <f>'Enter data here'!E28*'Enter data here'!F28</f>
        <v>0</v>
      </c>
      <c r="E38" s="88">
        <f>'Enter data here'!E28*'Enter data here'!G28</f>
        <v>0</v>
      </c>
      <c r="F38" s="25"/>
      <c r="K38" s="68"/>
    </row>
    <row r="39" spans="3:11" ht="30" customHeight="1" x14ac:dyDescent="0.25">
      <c r="F39" s="25"/>
      <c r="H39" s="55" t="s">
        <v>253</v>
      </c>
      <c r="I39" s="55" t="s">
        <v>362</v>
      </c>
      <c r="K39" s="68"/>
    </row>
    <row r="40" spans="3:11" ht="35.1" customHeight="1" x14ac:dyDescent="0.25">
      <c r="C40" s="54" t="s">
        <v>363</v>
      </c>
      <c r="D40" s="55" t="s">
        <v>268</v>
      </c>
      <c r="E40" s="55" t="s">
        <v>269</v>
      </c>
      <c r="F40" s="25"/>
      <c r="H40" s="102" t="s">
        <v>254</v>
      </c>
      <c r="I40" s="88">
        <f>IF('Enter data here'!D78=0,'Enter data here'!D80*References!C96,'Enter data here'!D78*References!C96)</f>
        <v>0</v>
      </c>
    </row>
    <row r="41" spans="3:11" ht="30" customHeight="1" x14ac:dyDescent="0.25">
      <c r="C41" s="58" t="str">
        <f>'Enter data here'!D36</f>
        <v>Diesel MK3</v>
      </c>
      <c r="D41" s="60">
        <f>'Enter data here'!E36*'Enter data here'!F36</f>
        <v>0</v>
      </c>
      <c r="E41" s="88">
        <f>'Enter data here'!E36*'Enter data here'!G36</f>
        <v>0</v>
      </c>
      <c r="F41" s="25"/>
      <c r="H41" s="58" t="s">
        <v>255</v>
      </c>
      <c r="I41" s="88">
        <f>IF('Enter data here'!H73=0,'Enter data here'!H76*('Enter data here'!D75/100)*'Enter data here'!I76*References!C96,'Enter data here'!H73*References!C96)</f>
        <v>0</v>
      </c>
    </row>
    <row r="42" spans="3:11" ht="30" customHeight="1" x14ac:dyDescent="0.25">
      <c r="C42" s="58" t="str">
        <f>'Enter data here'!D37</f>
        <v>Petrol MK1</v>
      </c>
      <c r="D42" s="60">
        <f>'Enter data here'!E37*'Enter data here'!F37</f>
        <v>0</v>
      </c>
      <c r="E42" s="88">
        <f>'Enter data here'!E37*'Enter data here'!G37</f>
        <v>0</v>
      </c>
      <c r="F42" s="25"/>
      <c r="H42" s="58" t="s">
        <v>256</v>
      </c>
      <c r="I42" s="88">
        <f>'Enter data here'!H77*('Enter data here'!D75/100)*'Enter data here'!I77*References!C96</f>
        <v>0</v>
      </c>
    </row>
    <row r="43" spans="3:11" ht="30" customHeight="1" x14ac:dyDescent="0.25">
      <c r="C43" s="58" t="str">
        <f>'Enter data here'!D38</f>
        <v>E85</v>
      </c>
      <c r="D43" s="60">
        <f>'Enter data here'!E38*'Enter data here'!F38</f>
        <v>0</v>
      </c>
      <c r="E43" s="88">
        <f>'Enter data here'!E38*'Enter data here'!G38</f>
        <v>0</v>
      </c>
      <c r="F43" s="25"/>
      <c r="H43" s="102" t="s">
        <v>257</v>
      </c>
      <c r="I43" s="88">
        <f>'Enter data here'!H78*('Enter data here'!D75/100)*'Enter data here'!I78*References!C96</f>
        <v>0</v>
      </c>
    </row>
    <row r="44" spans="3:11" ht="30" customHeight="1" x14ac:dyDescent="0.25">
      <c r="C44" s="58" t="str">
        <f>'Enter data here'!D39</f>
        <v>HVO (100%)</v>
      </c>
      <c r="D44" s="60">
        <f>'Enter data here'!E39*'Enter data here'!F39</f>
        <v>0</v>
      </c>
      <c r="E44" s="88">
        <f>'Enter data here'!E39*'Enter data here'!G39</f>
        <v>0</v>
      </c>
      <c r="F44" s="25"/>
      <c r="H44" s="102" t="s">
        <v>258</v>
      </c>
      <c r="I44" s="88">
        <f>'Enter data here'!H79*('Enter data here'!D75/100)*'Enter data here'!I79*References!C96</f>
        <v>0</v>
      </c>
    </row>
    <row r="45" spans="3:11" ht="30" customHeight="1" x14ac:dyDescent="0.25">
      <c r="C45" s="58" t="str">
        <f>'Enter data here'!D40</f>
        <v xml:space="preserve">FAME (100%) </v>
      </c>
      <c r="D45" s="60">
        <f>'Enter data here'!E40*'Enter data here'!F40</f>
        <v>0</v>
      </c>
      <c r="E45" s="88">
        <f>'Enter data here'!E40*'Enter data here'!G40</f>
        <v>0</v>
      </c>
      <c r="F45" s="25"/>
      <c r="H45" s="102" t="s">
        <v>259</v>
      </c>
      <c r="I45" s="88">
        <f>'Enter data here'!H80*('Enter data here'!D75/100)*'Enter data here'!I80*References!C96</f>
        <v>0</v>
      </c>
    </row>
    <row r="46" spans="3:11" ht="30" customHeight="1" x14ac:dyDescent="0.25">
      <c r="C46" s="58" t="str">
        <f>'Enter data here'!D41</f>
        <v>LNG [kg]</v>
      </c>
      <c r="D46" s="60">
        <f>'Enter data here'!E41*'Enter data here'!F41</f>
        <v>0</v>
      </c>
      <c r="E46" s="88">
        <f>'Enter data here'!E41*'Enter data here'!G41</f>
        <v>0</v>
      </c>
      <c r="F46" s="25"/>
    </row>
    <row r="47" spans="3:11" ht="30" customHeight="1" x14ac:dyDescent="0.25">
      <c r="C47" s="58" t="str">
        <f>'Enter data here'!D42</f>
        <v>Biogas, externally produced [kg]</v>
      </c>
      <c r="D47" s="60">
        <f>'Enter data here'!E42*'Enter data here'!F42</f>
        <v>0</v>
      </c>
      <c r="E47" s="88">
        <f>'Enter data here'!E42*'Enter data here'!G42</f>
        <v>0</v>
      </c>
      <c r="F47" s="25"/>
      <c r="G47" s="53"/>
      <c r="H47" s="55" t="s">
        <v>364</v>
      </c>
      <c r="I47" s="55" t="s">
        <v>362</v>
      </c>
    </row>
    <row r="48" spans="3:11" ht="30" customHeight="1" x14ac:dyDescent="0.25">
      <c r="C48" s="104" t="str">
        <f>'Enter data here'!D43</f>
        <v>Other</v>
      </c>
      <c r="D48" s="60">
        <f>'Enter data here'!E43*'Enter data here'!F43</f>
        <v>0</v>
      </c>
      <c r="E48" s="88">
        <f>'Enter data here'!E43*'Enter data here'!G43</f>
        <v>0</v>
      </c>
      <c r="F48" s="25"/>
      <c r="G48" s="53"/>
      <c r="H48" s="102" t="s">
        <v>260</v>
      </c>
      <c r="I48" s="88">
        <f>IF('Enter data here'!D87=0,'Enter data here'!D90*References!C96,'Enter data here'!D87*References!C96)</f>
        <v>0</v>
      </c>
      <c r="K48" s="68"/>
    </row>
    <row r="49" spans="2:11" ht="30" customHeight="1" x14ac:dyDescent="0.25">
      <c r="C49" s="104" t="str">
        <f>'Enter data here'!D44</f>
        <v>Other</v>
      </c>
      <c r="D49" s="60">
        <f>'Enter data here'!E44*'Enter data here'!F44</f>
        <v>0</v>
      </c>
      <c r="E49" s="88">
        <f>'Enter data here'!E44*'Enter data here'!G44</f>
        <v>0</v>
      </c>
      <c r="F49" s="25"/>
      <c r="G49" s="53"/>
      <c r="H49" s="102" t="s">
        <v>261</v>
      </c>
      <c r="I49" s="88">
        <f>IF('Enter data here'!D97=0,'Enter data here'!D100*References!C97,'Enter data here'!D97*References!C97)</f>
        <v>0</v>
      </c>
      <c r="K49" s="68"/>
    </row>
    <row r="50" spans="2:11" ht="30" customHeight="1" x14ac:dyDescent="0.25">
      <c r="F50" s="25"/>
      <c r="G50" s="53"/>
      <c r="H50" s="102" t="s">
        <v>262</v>
      </c>
      <c r="I50" s="88">
        <f>IF('Enter data here'!D110=0,('Enter data here'!D115+'Enter data here'!D120)*References!C97,'Enter data here'!D110*References!C97)</f>
        <v>0</v>
      </c>
      <c r="K50" s="68"/>
    </row>
    <row r="51" spans="2:11" ht="30" customHeight="1" x14ac:dyDescent="0.25">
      <c r="F51" s="25"/>
      <c r="G51" s="53"/>
      <c r="H51" s="102" t="s">
        <v>263</v>
      </c>
      <c r="I51" s="88">
        <f>IF('Enter data here'!H90=0,'Enter data here'!H94*References!C96,'Enter data here'!H90*References!C96)</f>
        <v>0</v>
      </c>
      <c r="K51" s="68"/>
    </row>
    <row r="52" spans="2:11" ht="30" customHeight="1" x14ac:dyDescent="0.25">
      <c r="F52" s="25"/>
      <c r="G52" s="53"/>
      <c r="H52" s="102" t="s">
        <v>264</v>
      </c>
      <c r="I52" s="88">
        <f>'Enter data here'!H91*References!C97</f>
        <v>0</v>
      </c>
      <c r="K52" s="68"/>
    </row>
    <row r="53" spans="2:11" ht="30" customHeight="1" x14ac:dyDescent="0.25">
      <c r="C53" s="169"/>
      <c r="D53" s="28"/>
      <c r="E53" s="93"/>
      <c r="F53" s="25"/>
      <c r="G53" s="53"/>
      <c r="H53" s="102" t="s">
        <v>365</v>
      </c>
      <c r="I53" s="88">
        <f>'Enter data here'!H105*References!C96</f>
        <v>0</v>
      </c>
      <c r="K53" s="68"/>
    </row>
    <row r="54" spans="2:11" ht="30" customHeight="1" x14ac:dyDescent="0.25">
      <c r="C54" s="169"/>
      <c r="D54" s="28"/>
      <c r="E54" s="93"/>
      <c r="F54" s="25"/>
      <c r="G54" s="53"/>
      <c r="H54" s="102" t="s">
        <v>266</v>
      </c>
      <c r="I54" s="88">
        <f>'Enter data here'!H106*References!C97</f>
        <v>0</v>
      </c>
      <c r="K54" s="68"/>
    </row>
    <row r="55" spans="2:11" ht="30" customHeight="1" x14ac:dyDescent="0.25">
      <c r="B55" s="167"/>
      <c r="C55" s="165"/>
      <c r="D55" s="165"/>
      <c r="E55" s="165"/>
      <c r="F55" s="166"/>
      <c r="G55" s="139"/>
      <c r="H55" s="167"/>
      <c r="I55" s="167"/>
      <c r="J55" s="167"/>
      <c r="K55" s="156"/>
    </row>
    <row r="56" spans="2:11" ht="30" customHeight="1" x14ac:dyDescent="0.25">
      <c r="G56" s="63"/>
      <c r="K56" s="70"/>
    </row>
    <row r="57" spans="2:11" ht="30" customHeight="1" x14ac:dyDescent="0.25">
      <c r="C57" s="77" t="s">
        <v>267</v>
      </c>
      <c r="D57" s="55" t="s">
        <v>366</v>
      </c>
      <c r="E57" s="55" t="s">
        <v>367</v>
      </c>
      <c r="F57" s="55" t="s">
        <v>368</v>
      </c>
      <c r="G57" s="25"/>
      <c r="H57" s="79" t="s">
        <v>272</v>
      </c>
      <c r="I57" s="55" t="s">
        <v>372</v>
      </c>
    </row>
    <row r="58" spans="2:11" ht="43.5" customHeight="1" x14ac:dyDescent="0.25">
      <c r="C58" s="58" t="str">
        <f>'Enter data for chemicals here'!C10</f>
        <v>Methanol, fossil</v>
      </c>
      <c r="D58" s="88">
        <f>'Enter data for chemicals here'!D10*'Enter data for chemicals here'!G10</f>
        <v>0</v>
      </c>
      <c r="E58" s="60">
        <f>'Enter data for chemicals here'!H10*'Enter data for chemicals here'!D10</f>
        <v>0</v>
      </c>
      <c r="F58" s="88">
        <f>'Enter data for chemicals here'!D10*'Enter data for chemicals here'!E10*'Enter data for chemicals here'!I10</f>
        <v>0</v>
      </c>
      <c r="G58" s="53"/>
      <c r="H58" s="102" t="str">
        <f>'Enter data for chemicals here'!D56</f>
        <v>Drinking water 
(for wastewater treatment plants)*</v>
      </c>
      <c r="I58" s="71">
        <f>'Enter data for chemicals here'!E56*'Enter data for chemicals here'!F56</f>
        <v>0</v>
      </c>
    </row>
    <row r="59" spans="2:11" ht="30" customHeight="1" x14ac:dyDescent="0.25">
      <c r="C59" s="58" t="str">
        <f>'Enter data for chemicals here'!C11</f>
        <v>Methanol, bio-based</v>
      </c>
      <c r="D59" s="88">
        <f>'Enter data for chemicals here'!D11*'Enter data for chemicals here'!G11</f>
        <v>0</v>
      </c>
      <c r="E59" s="60">
        <f>'Enter data for chemicals here'!H11*'Enter data for chemicals here'!D11</f>
        <v>0</v>
      </c>
      <c r="F59" s="88">
        <f>'Enter data for chemicals here'!D11*'Enter data for chemicals here'!E11*'Enter data for chemicals here'!I11</f>
        <v>0</v>
      </c>
      <c r="G59" s="53"/>
    </row>
    <row r="60" spans="2:11" ht="30" customHeight="1" x14ac:dyDescent="0.25">
      <c r="C60" s="58" t="str">
        <f>'Enter data for chemicals here'!C12</f>
        <v>Ethanol, fossil</v>
      </c>
      <c r="D60" s="88">
        <f>'Enter data for chemicals here'!D12*'Enter data for chemicals here'!G12</f>
        <v>0</v>
      </c>
      <c r="E60" s="60">
        <f>'Enter data for chemicals here'!H12*'Enter data for chemicals here'!D12</f>
        <v>0</v>
      </c>
      <c r="F60" s="88">
        <f>'Enter data for chemicals here'!D12*'Enter data for chemicals here'!E12*'Enter data for chemicals here'!I12</f>
        <v>0</v>
      </c>
      <c r="G60" s="32"/>
      <c r="H60" s="79" t="s">
        <v>270</v>
      </c>
      <c r="I60" s="55" t="s">
        <v>373</v>
      </c>
      <c r="J60" s="55" t="s">
        <v>368</v>
      </c>
    </row>
    <row r="61" spans="2:11" ht="30" customHeight="1" x14ac:dyDescent="0.25">
      <c r="C61" s="58" t="str">
        <f>'Enter data for chemicals here'!C13</f>
        <v>Ethanol, bio-based</v>
      </c>
      <c r="D61" s="88">
        <f>'Enter data for chemicals here'!D13*'Enter data for chemicals here'!G13</f>
        <v>0</v>
      </c>
      <c r="E61" s="60">
        <f>'Enter data for chemicals here'!H13*'Enter data for chemicals here'!D13</f>
        <v>0</v>
      </c>
      <c r="F61" s="88">
        <f>'Enter data for chemicals here'!D13*'Enter data for chemicals here'!E13*'Enter data for chemicals here'!I13</f>
        <v>0</v>
      </c>
      <c r="G61" s="32"/>
      <c r="H61" s="58" t="str">
        <f>'Enter data for chemicals here'!C60</f>
        <v>Activated carbon, fossil origin</v>
      </c>
      <c r="I61" s="88">
        <f>'Enter data for chemicals here'!D60*'Enter data for chemicals here'!G60</f>
        <v>0</v>
      </c>
      <c r="J61" s="88">
        <f>'Enter data for chemicals here'!D60*'Enter data for chemicals here'!E60*'Enter data for chemicals here'!H60</f>
        <v>0</v>
      </c>
    </row>
    <row r="62" spans="2:11" ht="30" customHeight="1" x14ac:dyDescent="0.25">
      <c r="C62" s="58" t="str">
        <f>'Enter data for chemicals here'!C14</f>
        <v>Sekundol/isopropanol</v>
      </c>
      <c r="D62" s="88">
        <f>'Enter data for chemicals here'!D14*'Enter data for chemicals here'!G14</f>
        <v>0</v>
      </c>
      <c r="E62" s="60">
        <f>'Enter data for chemicals here'!H14*'Enter data for chemicals here'!D14</f>
        <v>0</v>
      </c>
      <c r="F62" s="88">
        <f>'Enter data for chemicals here'!D14*'Enter data for chemicals here'!E14*'Enter data for chemicals here'!I14</f>
        <v>0</v>
      </c>
      <c r="G62" s="25"/>
      <c r="H62" s="58" t="str">
        <f>'Enter data for chemicals here'!C61</f>
        <v>Activated carbon, reactivated</v>
      </c>
      <c r="I62" s="88">
        <f>'Enter data for chemicals here'!D61*'Enter data for chemicals here'!G61</f>
        <v>0</v>
      </c>
      <c r="J62" s="88">
        <f>'Enter data for chemicals here'!D61*'Enter data for chemicals here'!E61*'Enter data for chemicals here'!H61</f>
        <v>0</v>
      </c>
    </row>
    <row r="63" spans="2:11" ht="30" customHeight="1" x14ac:dyDescent="0.25">
      <c r="C63" s="58" t="str">
        <f>'Enter data for chemicals here'!C15</f>
        <v>Brenntaplus</v>
      </c>
      <c r="D63" s="88">
        <f>'Enter data for chemicals here'!D15*'Enter data for chemicals here'!G15</f>
        <v>0</v>
      </c>
      <c r="E63" s="60">
        <f>'Enter data for chemicals here'!H15*'Enter data for chemicals here'!D15</f>
        <v>0</v>
      </c>
      <c r="F63" s="88">
        <f>'Enter data for chemicals here'!D15*'Enter data for chemicals here'!E15*'Enter data for chemicals here'!I15</f>
        <v>0</v>
      </c>
      <c r="G63" s="25"/>
      <c r="H63" s="58" t="str">
        <f>'Enter data for chemicals here'!C62</f>
        <v>Activated carbon, coconut based</v>
      </c>
      <c r="I63" s="88">
        <f>'Enter data for chemicals here'!D62*'Enter data for chemicals here'!G62</f>
        <v>0</v>
      </c>
      <c r="J63" s="88">
        <f>'Enter data for chemicals here'!D62*'Enter data for chemicals here'!E62*'Enter data for chemicals here'!H62</f>
        <v>0</v>
      </c>
    </row>
    <row r="64" spans="2:11" ht="30" customHeight="1" x14ac:dyDescent="0.25">
      <c r="C64" s="104" t="str">
        <f>'Enter data for chemicals here'!C16</f>
        <v>Other</v>
      </c>
      <c r="D64" s="88">
        <f>'Enter data for chemicals here'!D16*'Enter data for chemicals here'!G16</f>
        <v>0</v>
      </c>
      <c r="E64" s="60">
        <f>'Enter data for chemicals here'!H16*'Enter data for chemicals here'!D16</f>
        <v>0</v>
      </c>
      <c r="F64" s="88">
        <f>'Enter data for chemicals here'!D16*'Enter data for chemicals here'!E16*'Enter data for chemicals here'!I16</f>
        <v>0</v>
      </c>
      <c r="G64" s="25"/>
      <c r="H64" s="58" t="str">
        <f>'Enter data for chemicals here'!C63</f>
        <v>Sand</v>
      </c>
      <c r="I64" s="88">
        <f>'Enter data for chemicals here'!D63*'Enter data for chemicals here'!G63</f>
        <v>0</v>
      </c>
      <c r="J64" s="88">
        <f>'Enter data for chemicals here'!D63*'Enter data for chemicals here'!E63*'Enter data for chemicals here'!H63</f>
        <v>0</v>
      </c>
    </row>
    <row r="65" spans="3:10" ht="30" customHeight="1" x14ac:dyDescent="0.25">
      <c r="C65" s="104" t="str">
        <f>'Enter data for chemicals here'!C17</f>
        <v>Other</v>
      </c>
      <c r="D65" s="88">
        <f>'Enter data for chemicals here'!D17*'Enter data for chemicals here'!G17</f>
        <v>0</v>
      </c>
      <c r="E65" s="60">
        <f>'Enter data for chemicals here'!H17*'Enter data for chemicals here'!D17</f>
        <v>0</v>
      </c>
      <c r="F65" s="88">
        <f>'Enter data for chemicals here'!D17*'Enter data for chemicals here'!E17*'Enter data for chemicals here'!I17</f>
        <v>0</v>
      </c>
      <c r="G65" s="25"/>
      <c r="H65" s="58" t="str">
        <f>'Enter data for chemicals here'!C64</f>
        <v>Quicklime (CaO)</v>
      </c>
      <c r="I65" s="88">
        <f>'Enter data for chemicals here'!D64*'Enter data for chemicals here'!G64</f>
        <v>0</v>
      </c>
      <c r="J65" s="88">
        <f>'Enter data for chemicals here'!D64*'Enter data for chemicals here'!E64*'Enter data for chemicals here'!H64</f>
        <v>0</v>
      </c>
    </row>
    <row r="66" spans="3:10" ht="30" customHeight="1" x14ac:dyDescent="0.25">
      <c r="G66" s="25"/>
      <c r="H66" s="58" t="str">
        <f>'Enter data for chemicals here'!C65</f>
        <v>Calcium hydroxide (Ca(OH)2)</v>
      </c>
      <c r="I66" s="88">
        <f>'Enter data for chemicals here'!D65*'Enter data for chemicals here'!G65</f>
        <v>0</v>
      </c>
      <c r="J66" s="88">
        <f>'Enter data for chemicals here'!D65*'Enter data for chemicals here'!E65*'Enter data for chemicals here'!H65</f>
        <v>0</v>
      </c>
    </row>
    <row r="67" spans="3:10" ht="30" customHeight="1" x14ac:dyDescent="0.25">
      <c r="C67" s="55" t="s">
        <v>453</v>
      </c>
      <c r="D67" s="79" t="s">
        <v>370</v>
      </c>
      <c r="E67" s="79" t="s">
        <v>371</v>
      </c>
      <c r="G67" s="25"/>
      <c r="H67" s="58" t="str">
        <f>'Enter data for chemicals here'!C66</f>
        <v>Limestone (CaCO3)</v>
      </c>
      <c r="I67" s="88">
        <f>'Enter data for chemicals here'!D66*'Enter data for chemicals here'!G66</f>
        <v>0</v>
      </c>
      <c r="J67" s="88">
        <f>'Enter data for chemicals here'!D66*'Enter data for chemicals here'!E66*'Enter data for chemicals here'!H66</f>
        <v>0</v>
      </c>
    </row>
    <row r="68" spans="3:10" ht="30" customHeight="1" x14ac:dyDescent="0.25">
      <c r="C68" s="58" t="str">
        <f>'Enter data for chemicals here'!C23</f>
        <v>Ferric chloride (PIX-111)</v>
      </c>
      <c r="D68" s="88">
        <f>'Enter data for chemicals here'!D23*'Enter data for chemicals here'!G23</f>
        <v>0</v>
      </c>
      <c r="E68" s="88">
        <f>'Enter data for chemicals here'!D23*'Enter data for chemicals here'!E23*'Enter data for chemicals here'!H23</f>
        <v>0</v>
      </c>
      <c r="G68" s="70"/>
      <c r="H68" s="58" t="str">
        <f>'Enter data for chemicals here'!C67</f>
        <v>Sodium chloride</v>
      </c>
      <c r="I68" s="88">
        <f>'Enter data for chemicals here'!D67*'Enter data for chemicals here'!G67</f>
        <v>0</v>
      </c>
      <c r="J68" s="88">
        <f>'Enter data for chemicals here'!D67*'Enter data for chemicals here'!E67*'Enter data for chemicals here'!H67</f>
        <v>0</v>
      </c>
    </row>
    <row r="69" spans="3:10" ht="30" customHeight="1" x14ac:dyDescent="0.25">
      <c r="C69" s="58" t="str">
        <f>'Enter data for chemicals here'!C24</f>
        <v>Ferric chloride 
(Plusjärn S 314)</v>
      </c>
      <c r="D69" s="88">
        <f>'Enter data for chemicals here'!D24*'Enter data for chemicals here'!G24</f>
        <v>0</v>
      </c>
      <c r="E69" s="88">
        <f>'Enter data for chemicals here'!D24*'Enter data for chemicals here'!E24*'Enter data for chemicals here'!H24</f>
        <v>0</v>
      </c>
      <c r="G69" s="70"/>
      <c r="H69" s="58" t="str">
        <f>'Enter data for chemicals here'!C68</f>
        <v>Sodium hydroxide (50 %)</v>
      </c>
      <c r="I69" s="88">
        <f>'Enter data for chemicals here'!D68*'Enter data for chemicals here'!G68</f>
        <v>0</v>
      </c>
      <c r="J69" s="88">
        <f>'Enter data for chemicals here'!D68*'Enter data for chemicals here'!E68*'Enter data for chemicals here'!H68</f>
        <v>0</v>
      </c>
    </row>
    <row r="70" spans="3:10" ht="30" customHeight="1" x14ac:dyDescent="0.25">
      <c r="C70" s="58" t="str">
        <f>'Enter data for chemicals here'!C25</f>
        <v>Ferrous sulphate 
(e.g. Quickfloc)</v>
      </c>
      <c r="D70" s="88">
        <f>'Enter data for chemicals here'!D25*'Enter data for chemicals here'!G25</f>
        <v>0</v>
      </c>
      <c r="E70" s="88">
        <f>'Enter data for chemicals here'!D25*'Enter data for chemicals here'!E25*'Enter data for chemicals here'!H25</f>
        <v>0</v>
      </c>
      <c r="G70" s="70"/>
      <c r="H70" s="58" t="str">
        <f>'Enter data for chemicals here'!C69</f>
        <v>Sodium hydroxide (25%)</v>
      </c>
      <c r="I70" s="88">
        <f>'Enter data for chemicals here'!D69*'Enter data for chemicals here'!G69</f>
        <v>0</v>
      </c>
      <c r="J70" s="88">
        <f>'Enter data for chemicals here'!D69*'Enter data for chemicals here'!E69*'Enter data for chemicals here'!H69</f>
        <v>0</v>
      </c>
    </row>
    <row r="71" spans="3:10" ht="30" customHeight="1" x14ac:dyDescent="0.25">
      <c r="C71" s="58" t="str">
        <f>'Enter data for chemicals here'!C26</f>
        <v>Ferric sulphate (PIX-113)</v>
      </c>
      <c r="D71" s="88">
        <f>'Enter data for chemicals here'!D26*'Enter data for chemicals here'!G26</f>
        <v>0</v>
      </c>
      <c r="E71" s="88">
        <f>'Enter data for chemicals here'!D26*'Enter data for chemicals here'!E26*'Enter data for chemicals here'!H26</f>
        <v>0</v>
      </c>
      <c r="G71" s="70"/>
      <c r="H71" s="58" t="str">
        <f>'Enter data for chemicals here'!C70</f>
        <v xml:space="preserve">Chlorine </v>
      </c>
      <c r="I71" s="88">
        <f>'Enter data for chemicals here'!D70*'Enter data for chemicals here'!G70</f>
        <v>0</v>
      </c>
      <c r="J71" s="88">
        <f>'Enter data for chemicals here'!D70*'Enter data for chemicals here'!E70*'Enter data for chemicals here'!H70</f>
        <v>0</v>
      </c>
    </row>
    <row r="72" spans="3:10" ht="30" customHeight="1" x14ac:dyDescent="0.25">
      <c r="C72" s="58" t="str">
        <f>'Enter data for chemicals here'!C27</f>
        <v>Ferric chloride sulphate 
(PIX-118)</v>
      </c>
      <c r="D72" s="88">
        <f>'Enter data for chemicals here'!D27*'Enter data for chemicals here'!G27</f>
        <v>0</v>
      </c>
      <c r="E72" s="88">
        <f>'Enter data for chemicals here'!D27*'Enter data for chemicals here'!E27*'Enter data for chemicals here'!H27</f>
        <v>0</v>
      </c>
      <c r="G72" s="70"/>
      <c r="H72" s="58" t="str">
        <f>'Enter data for chemicals here'!C71</f>
        <v>Sodium hypochlorite (50 %)</v>
      </c>
      <c r="I72" s="88">
        <f>'Enter data for chemicals here'!D71*'Enter data for chemicals here'!G71</f>
        <v>0</v>
      </c>
      <c r="J72" s="88">
        <f>'Enter data for chemicals here'!D71*'Enter data for chemicals here'!E71*'Enter data for chemicals here'!H71</f>
        <v>0</v>
      </c>
    </row>
    <row r="73" spans="3:10" ht="30" customHeight="1" x14ac:dyDescent="0.25">
      <c r="C73" s="58" t="str">
        <f>'Enter data for chemicals here'!C28</f>
        <v>Aluminium ferric chloride 
(Ekomix 1091)</v>
      </c>
      <c r="D73" s="88">
        <f>'Enter data for chemicals here'!D28*'Enter data for chemicals here'!G28</f>
        <v>0</v>
      </c>
      <c r="E73" s="88">
        <f>'Enter data for chemicals here'!D28*'Enter data for chemicals here'!E28*'Enter data for chemicals here'!H28</f>
        <v>0</v>
      </c>
      <c r="G73" s="70"/>
      <c r="H73" s="58" t="str">
        <f>'Enter data for chemicals here'!C72</f>
        <v>Sodium hypochlorite (13%)</v>
      </c>
      <c r="I73" s="88">
        <f>'Enter data for chemicals here'!D72*'Enter data for chemicals here'!G72</f>
        <v>0</v>
      </c>
      <c r="J73" s="88">
        <f>'Enter data for chemicals here'!D72*'Enter data for chemicals here'!E72*'Enter data for chemicals here'!H72</f>
        <v>0</v>
      </c>
    </row>
    <row r="74" spans="3:10" ht="30" customHeight="1" x14ac:dyDescent="0.25">
      <c r="C74" s="58" t="str">
        <f>'Enter data for chemicals here'!C29</f>
        <v>Aluminium sulphate (ALG)</v>
      </c>
      <c r="D74" s="88">
        <f>'Enter data for chemicals here'!D29*'Enter data for chemicals here'!G29</f>
        <v>0</v>
      </c>
      <c r="E74" s="88">
        <f>'Enter data for chemicals here'!D29*'Enter data for chemicals here'!E29*'Enter data for chemicals here'!H29</f>
        <v>0</v>
      </c>
      <c r="G74" s="70"/>
      <c r="H74" s="58" t="str">
        <f>'Enter data for chemicals here'!C73</f>
        <v>Hydrogen peroxide (49%)</v>
      </c>
      <c r="I74" s="88">
        <f>'Enter data for chemicals here'!D73*'Enter data for chemicals here'!G73</f>
        <v>0</v>
      </c>
      <c r="J74" s="88">
        <f>'Enter data for chemicals here'!D73*'Enter data for chemicals here'!E73*'Enter data for chemicals here'!H73</f>
        <v>0</v>
      </c>
    </row>
    <row r="75" spans="3:10" ht="30" customHeight="1" x14ac:dyDescent="0.25">
      <c r="C75" s="58" t="str">
        <f>'Enter data for chemicals here'!C30</f>
        <v>PAC (Ekoflock 54)</v>
      </c>
      <c r="D75" s="88">
        <f>'Enter data for chemicals here'!D30*'Enter data for chemicals here'!G30</f>
        <v>0</v>
      </c>
      <c r="E75" s="88">
        <f>'Enter data for chemicals here'!D30*'Enter data for chemicals here'!E30*'Enter data for chemicals here'!H30</f>
        <v>0</v>
      </c>
      <c r="F75" s="70"/>
      <c r="G75" s="70"/>
      <c r="H75" s="58" t="str">
        <f>'Enter data for chemicals here'!C74</f>
        <v>Sulphuric acid (96 %)</v>
      </c>
      <c r="I75" s="88">
        <f>'Enter data for chemicals here'!D74*'Enter data for chemicals here'!G74</f>
        <v>0</v>
      </c>
      <c r="J75" s="88">
        <f>'Enter data for chemicals here'!D74*'Enter data for chemicals here'!E74*'Enter data for chemicals here'!H74</f>
        <v>0</v>
      </c>
    </row>
    <row r="76" spans="3:10" ht="30" customHeight="1" x14ac:dyDescent="0.25">
      <c r="C76" s="58" t="str">
        <f>'Enter data for chemicals here'!C31</f>
        <v>PAC (Ekoflock 70)</v>
      </c>
      <c r="D76" s="88">
        <f>'Enter data for chemicals here'!D31*'Enter data for chemicals here'!G31</f>
        <v>0</v>
      </c>
      <c r="E76" s="88">
        <f>'Enter data for chemicals here'!D31*'Enter data for chemicals here'!E31*'Enter data for chemicals here'!H31</f>
        <v>0</v>
      </c>
      <c r="F76" s="70"/>
      <c r="G76" s="70"/>
      <c r="H76" s="58" t="str">
        <f>'Enter data for chemicals here'!C75</f>
        <v>Sulphuric acid (36%)</v>
      </c>
      <c r="I76" s="88">
        <f>'Enter data for chemicals here'!D75*'Enter data for chemicals here'!G75</f>
        <v>0</v>
      </c>
      <c r="J76" s="88">
        <f>'Enter data for chemicals here'!D75*'Enter data for chemicals here'!E75*'Enter data for chemicals here'!H75</f>
        <v>0</v>
      </c>
    </row>
    <row r="77" spans="3:10" ht="30" customHeight="1" x14ac:dyDescent="0.25">
      <c r="C77" s="58" t="str">
        <f>'Enter data for chemicals here'!C32</f>
        <v>PAC (Ekoflock 75)</v>
      </c>
      <c r="D77" s="88">
        <f>'Enter data for chemicals here'!D32*'Enter data for chemicals here'!G32</f>
        <v>0</v>
      </c>
      <c r="E77" s="88">
        <f>'Enter data for chemicals here'!D32*'Enter data for chemicals here'!E32*'Enter data for chemicals here'!H32</f>
        <v>0</v>
      </c>
      <c r="F77" s="70"/>
      <c r="G77" s="70"/>
      <c r="H77" s="58" t="str">
        <f>'Enter data for chemicals here'!C76</f>
        <v>Hydrochloric acid (32 %)</v>
      </c>
      <c r="I77" s="88">
        <f>'Enter data for chemicals here'!D76*'Enter data for chemicals here'!G76</f>
        <v>0</v>
      </c>
      <c r="J77" s="88">
        <f>'Enter data for chemicals here'!D76*'Enter data for chemicals here'!E76*'Enter data for chemicals here'!H76</f>
        <v>0</v>
      </c>
    </row>
    <row r="78" spans="3:10" ht="30" customHeight="1" x14ac:dyDescent="0.25">
      <c r="C78" s="58" t="str">
        <f>'Enter data for chemicals here'!C33</f>
        <v>PAC (Ekoflock 90, 91, 92)</v>
      </c>
      <c r="D78" s="88">
        <f>'Enter data for chemicals here'!D33*'Enter data for chemicals here'!G33</f>
        <v>0</v>
      </c>
      <c r="E78" s="88">
        <f>'Enter data for chemicals here'!D33*'Enter data for chemicals here'!E33*'Enter data for chemicals here'!H33</f>
        <v>0</v>
      </c>
      <c r="F78" s="70"/>
      <c r="G78" s="70"/>
      <c r="H78" s="58" t="str">
        <f>'Enter data for chemicals here'!C77</f>
        <v>Nitric acid (60 %)</v>
      </c>
      <c r="I78" s="88">
        <f>'Enter data for chemicals here'!D77*'Enter data for chemicals here'!G77</f>
        <v>0</v>
      </c>
      <c r="J78" s="88">
        <f>'Enter data for chemicals here'!D77*'Enter data for chemicals here'!E77*'Enter data for chemicals here'!H77</f>
        <v>0</v>
      </c>
    </row>
    <row r="79" spans="3:10" ht="30" customHeight="1" x14ac:dyDescent="0.25">
      <c r="C79" s="58" t="str">
        <f>'Enter data for chemicals here'!C34</f>
        <v>PAC (Ekoflock 96)</v>
      </c>
      <c r="D79" s="88">
        <f>'Enter data for chemicals here'!D34*'Enter data for chemicals here'!G34</f>
        <v>0</v>
      </c>
      <c r="E79" s="88">
        <f>'Enter data for chemicals here'!D34*'Enter data for chemicals here'!E34*'Enter data for chemicals here'!H34</f>
        <v>0</v>
      </c>
      <c r="F79" s="70"/>
      <c r="G79" s="70"/>
      <c r="H79" s="58" t="str">
        <f>'Enter data for chemicals here'!C78</f>
        <v>Ammonium sulphate</v>
      </c>
      <c r="I79" s="88">
        <f>'Enter data for chemicals here'!D78*'Enter data for chemicals here'!G78</f>
        <v>0</v>
      </c>
      <c r="J79" s="88">
        <f>'Enter data for chemicals here'!D78*'Enter data for chemicals here'!E78*'Enter data for chemicals here'!H78</f>
        <v>0</v>
      </c>
    </row>
    <row r="80" spans="3:10" ht="30" customHeight="1" x14ac:dyDescent="0.25">
      <c r="C80" s="58" t="str">
        <f>'Enter data for chemicals here'!C35</f>
        <v>PAC (Pluspac S 1465)</v>
      </c>
      <c r="D80" s="88">
        <f>'Enter data for chemicals here'!D35*'Enter data for chemicals here'!G35</f>
        <v>0</v>
      </c>
      <c r="E80" s="88">
        <f>'Enter data for chemicals here'!D35*'Enter data for chemicals here'!E35*'Enter data for chemicals here'!H35</f>
        <v>0</v>
      </c>
      <c r="F80" s="70"/>
      <c r="H80" s="58" t="str">
        <f>'Enter data for chemicals here'!C79</f>
        <v>Sodium silicate</v>
      </c>
      <c r="I80" s="88">
        <f>'Enter data for chemicals here'!D79*'Enter data for chemicals here'!G79</f>
        <v>0</v>
      </c>
      <c r="J80" s="88">
        <f>'Enter data for chemicals here'!D79*'Enter data for chemicals here'!E79*'Enter data for chemicals here'!H79</f>
        <v>0</v>
      </c>
    </row>
    <row r="81" spans="3:11" ht="30" customHeight="1" x14ac:dyDescent="0.25">
      <c r="C81" s="58" t="str">
        <f>'Enter data for chemicals here'!C36</f>
        <v>PAC (PAX-15)</v>
      </c>
      <c r="D81" s="88">
        <f>'Enter data for chemicals here'!D36*'Enter data for chemicals here'!G36</f>
        <v>0</v>
      </c>
      <c r="E81" s="88">
        <f>'Enter data for chemicals here'!D36*'Enter data for chemicals here'!E36*'Enter data for chemicals here'!H36</f>
        <v>0</v>
      </c>
      <c r="F81" s="70"/>
      <c r="H81" s="58" t="str">
        <f>'Enter data for chemicals here'!C80</f>
        <v>Sodium carbonate</v>
      </c>
      <c r="I81" s="88">
        <f>'Enter data for chemicals here'!D80*'Enter data for chemicals here'!G80</f>
        <v>0</v>
      </c>
      <c r="J81" s="88">
        <f>'Enter data for chemicals here'!D80*'Enter data for chemicals here'!E80*'Enter data for chemicals here'!H80</f>
        <v>0</v>
      </c>
    </row>
    <row r="82" spans="3:11" ht="30" customHeight="1" x14ac:dyDescent="0.25">
      <c r="C82" s="58" t="str">
        <f>'Enter data for chemicals here'!C37</f>
        <v>PAC (PAX-215)</v>
      </c>
      <c r="D82" s="88">
        <f>'Enter data for chemicals here'!D37*'Enter data for chemicals here'!G37</f>
        <v>0</v>
      </c>
      <c r="E82" s="88">
        <f>'Enter data for chemicals here'!D37*'Enter data for chemicals here'!E37*'Enter data for chemicals here'!H37</f>
        <v>0</v>
      </c>
      <c r="F82" s="70"/>
      <c r="H82" s="58" t="str">
        <f>'Enter data for chemicals here'!C81</f>
        <v>Carbon dioxide</v>
      </c>
      <c r="I82" s="88">
        <f>'Enter data for chemicals here'!D81*'Enter data for chemicals here'!G81</f>
        <v>0</v>
      </c>
      <c r="J82" s="88">
        <f>'Enter data for chemicals here'!D81*'Enter data for chemicals here'!E81*'Enter data for chemicals here'!H81</f>
        <v>0</v>
      </c>
    </row>
    <row r="83" spans="3:11" ht="30" customHeight="1" x14ac:dyDescent="0.25">
      <c r="C83" s="58" t="str">
        <f>'Enter data for chemicals here'!C38</f>
        <v>PAC (PAX-XL60)</v>
      </c>
      <c r="D83" s="88">
        <f>'Enter data for chemicals here'!D38*'Enter data for chemicals here'!G38</f>
        <v>0</v>
      </c>
      <c r="E83" s="88">
        <f>'Enter data for chemicals here'!D38*'Enter data for chemicals here'!E38*'Enter data for chemicals here'!H38</f>
        <v>0</v>
      </c>
      <c r="F83" s="70"/>
      <c r="H83" s="58" t="str">
        <f>'Enter data for chemicals here'!C82</f>
        <v>Citric acid</v>
      </c>
      <c r="I83" s="88">
        <f>'Enter data for chemicals here'!D82*'Enter data for chemicals here'!G82</f>
        <v>0</v>
      </c>
      <c r="J83" s="88">
        <f>'Enter data for chemicals here'!D82*'Enter data for chemicals here'!E82*'Enter data for chemicals here'!H82</f>
        <v>0</v>
      </c>
    </row>
    <row r="84" spans="3:11" ht="30" customHeight="1" x14ac:dyDescent="0.25">
      <c r="C84" s="58" t="str">
        <f>'Enter data for chemicals here'!C39</f>
        <v>PAC (PAX-XL260)</v>
      </c>
      <c r="D84" s="88">
        <f>'Enter data for chemicals here'!D39*'Enter data for chemicals here'!G39</f>
        <v>0</v>
      </c>
      <c r="E84" s="88">
        <f>'Enter data for chemicals here'!D39*'Enter data for chemicals here'!E39*'Enter data for chemicals here'!H39</f>
        <v>0</v>
      </c>
      <c r="F84" s="70"/>
      <c r="H84" s="104" t="str">
        <f>'Enter data for chemicals here'!C83</f>
        <v>Other</v>
      </c>
      <c r="I84" s="88">
        <f>'Enter data for chemicals here'!D83*'Enter data for chemicals here'!G83</f>
        <v>0</v>
      </c>
      <c r="J84" s="88">
        <f>'Enter data for chemicals here'!D83*'Enter data for chemicals here'!E83*'Enter data for chemicals here'!H83</f>
        <v>0</v>
      </c>
      <c r="K84" s="28"/>
    </row>
    <row r="85" spans="3:11" ht="30" customHeight="1" x14ac:dyDescent="0.25">
      <c r="C85" s="58" t="str">
        <f>'Enter data for chemicals here'!C40</f>
        <v>PAC (PAX-XL100)</v>
      </c>
      <c r="D85" s="88">
        <f>'Enter data for chemicals here'!D40*'Enter data for chemicals here'!G40</f>
        <v>0</v>
      </c>
      <c r="E85" s="88">
        <f>'Enter data for chemicals here'!D40*'Enter data for chemicals here'!E40*'Enter data for chemicals here'!H40</f>
        <v>0</v>
      </c>
      <c r="F85" s="70"/>
      <c r="H85" s="104" t="str">
        <f>'Enter data for chemicals here'!C84</f>
        <v>Other</v>
      </c>
      <c r="I85" s="88">
        <f>'Enter data for chemicals here'!D84*'Enter data for chemicals here'!G84</f>
        <v>0</v>
      </c>
      <c r="J85" s="88">
        <f>'Enter data for chemicals here'!D84*'Enter data for chemicals here'!E84*'Enter data for chemicals here'!H84</f>
        <v>0</v>
      </c>
      <c r="K85" s="28"/>
    </row>
    <row r="86" spans="3:11" ht="30" customHeight="1" x14ac:dyDescent="0.25">
      <c r="C86" s="104" t="str">
        <f>'Enter data for chemicals here'!C41</f>
        <v>Other</v>
      </c>
      <c r="D86" s="88">
        <f>'Enter data for chemicals here'!D41*'Enter data for chemicals here'!G41</f>
        <v>0</v>
      </c>
      <c r="E86" s="88">
        <f>'Enter data for chemicals here'!D41*'Enter data for chemicals here'!E41*'Enter data for chemicals here'!H41</f>
        <v>0</v>
      </c>
      <c r="F86" s="70"/>
      <c r="H86" s="104" t="str">
        <f>'Enter data for chemicals here'!C85</f>
        <v>Other</v>
      </c>
      <c r="I86" s="88">
        <f>'Enter data for chemicals here'!D85*'Enter data for chemicals here'!G85</f>
        <v>0</v>
      </c>
      <c r="J86" s="88">
        <f>'Enter data for chemicals here'!D85*'Enter data for chemicals here'!E85*'Enter data for chemicals here'!H85</f>
        <v>0</v>
      </c>
    </row>
    <row r="87" spans="3:11" ht="30" customHeight="1" x14ac:dyDescent="0.25">
      <c r="C87" s="104" t="str">
        <f>'Enter data for chemicals here'!C42</f>
        <v>Other</v>
      </c>
      <c r="D87" s="88">
        <f>'Enter data for chemicals here'!D42*'Enter data for chemicals here'!G42</f>
        <v>0</v>
      </c>
      <c r="E87" s="88">
        <f>'Enter data for chemicals here'!D42*'Enter data for chemicals here'!E42*'Enter data for chemicals here'!H42</f>
        <v>0</v>
      </c>
      <c r="F87" s="228"/>
      <c r="H87" s="104" t="str">
        <f>'Enter data for chemicals here'!C86</f>
        <v>Other</v>
      </c>
      <c r="I87" s="88">
        <f>'Enter data for chemicals here'!D86*'Enter data for chemicals here'!G86</f>
        <v>0</v>
      </c>
      <c r="J87" s="88">
        <f>'Enter data for chemicals here'!D86*'Enter data for chemicals here'!E86*'Enter data for chemicals here'!H86</f>
        <v>0</v>
      </c>
    </row>
    <row r="88" spans="3:11" ht="30" customHeight="1" x14ac:dyDescent="0.25">
      <c r="C88" s="232"/>
      <c r="D88" s="233"/>
      <c r="E88" s="233"/>
      <c r="F88" s="228"/>
      <c r="H88" s="234"/>
      <c r="I88" s="233"/>
      <c r="J88" s="233"/>
    </row>
    <row r="89" spans="3:11" ht="30" customHeight="1" x14ac:dyDescent="0.25">
      <c r="C89" s="79" t="s">
        <v>73</v>
      </c>
      <c r="D89" s="55" t="s">
        <v>369</v>
      </c>
      <c r="E89" s="55" t="s">
        <v>368</v>
      </c>
      <c r="F89" s="228"/>
      <c r="H89" s="234"/>
      <c r="I89" s="233"/>
      <c r="J89" s="233"/>
    </row>
    <row r="90" spans="3:11" ht="30" customHeight="1" x14ac:dyDescent="0.25">
      <c r="C90" s="102" t="str">
        <f>'Enter data for chemicals here'!C48</f>
        <v>Polyacrylamide (solid)</v>
      </c>
      <c r="D90" s="88">
        <f>'Enter data for chemicals here'!D48*'Enter data for chemicals here'!G48</f>
        <v>0</v>
      </c>
      <c r="E90" s="88">
        <f>'Enter data for chemicals here'!D48*'Enter data for chemicals here'!E48*'Enter data for chemicals here'!H48</f>
        <v>0</v>
      </c>
      <c r="F90" s="228"/>
      <c r="H90" s="234"/>
      <c r="I90" s="233"/>
      <c r="J90" s="233"/>
    </row>
    <row r="91" spans="3:11" ht="30" customHeight="1" x14ac:dyDescent="0.25">
      <c r="C91" s="142" t="str">
        <f>'Enter data for chemicals here'!C49</f>
        <v>Other</v>
      </c>
      <c r="D91" s="88">
        <f>'Enter data for chemicals here'!D49*'Enter data for chemicals here'!G49</f>
        <v>0</v>
      </c>
      <c r="E91" s="88">
        <f>'Enter data for chemicals here'!D49*'Enter data for chemicals here'!E49*'Enter data for chemicals here'!H49</f>
        <v>0</v>
      </c>
      <c r="F91" s="228"/>
      <c r="H91" s="234"/>
      <c r="I91" s="233"/>
      <c r="J91" s="233"/>
    </row>
    <row r="92" spans="3:11" ht="30" customHeight="1" x14ac:dyDescent="0.25">
      <c r="C92" s="142" t="str">
        <f>'Enter data for chemicals here'!C50</f>
        <v>Other</v>
      </c>
      <c r="D92" s="88">
        <f>'Enter data for chemicals here'!D50*'Enter data for chemicals here'!G50</f>
        <v>0</v>
      </c>
      <c r="E92" s="88">
        <f>'Enter data for chemicals here'!D50*'Enter data for chemicals here'!E50*'Enter data for chemicals here'!H50</f>
        <v>0</v>
      </c>
      <c r="F92" s="228"/>
      <c r="H92" s="234"/>
      <c r="I92" s="233"/>
      <c r="J92" s="233"/>
    </row>
    <row r="93" spans="3:11" ht="30" customHeight="1" x14ac:dyDescent="0.25">
      <c r="F93" s="228"/>
      <c r="H93" s="234"/>
      <c r="I93" s="233"/>
      <c r="J93" s="233"/>
    </row>
    <row r="94" spans="3:11" ht="30" customHeight="1" x14ac:dyDescent="0.25">
      <c r="F94" s="70"/>
      <c r="K94" s="68"/>
    </row>
    <row r="95" spans="3:11" ht="30" hidden="1" customHeight="1" x14ac:dyDescent="0.25">
      <c r="F95" s="70"/>
      <c r="K95" s="68"/>
    </row>
    <row r="96" spans="3:11" ht="30" hidden="1" customHeight="1" x14ac:dyDescent="0.25">
      <c r="F96" s="70"/>
      <c r="K96" s="70"/>
    </row>
    <row r="97" spans="6:11" ht="30" hidden="1" customHeight="1" x14ac:dyDescent="0.25">
      <c r="F97" s="70"/>
      <c r="K97" s="70"/>
    </row>
    <row r="98" spans="6:11" ht="30" hidden="1" customHeight="1" x14ac:dyDescent="0.25">
      <c r="F98" s="70"/>
      <c r="K98" s="70"/>
    </row>
    <row r="99" spans="6:11" ht="30" hidden="1" customHeight="1" x14ac:dyDescent="0.25">
      <c r="F99" s="70"/>
      <c r="K99" s="70"/>
    </row>
    <row r="100" spans="6:11" ht="30" hidden="1" customHeight="1" x14ac:dyDescent="0.25">
      <c r="F100" s="70"/>
      <c r="K100" s="70"/>
    </row>
    <row r="101" spans="6:11" ht="30" hidden="1" customHeight="1" x14ac:dyDescent="0.25">
      <c r="F101" s="70"/>
      <c r="K101" s="70"/>
    </row>
    <row r="102" spans="6:11" ht="30" hidden="1" customHeight="1" x14ac:dyDescent="0.25">
      <c r="F102" s="70"/>
      <c r="K102" s="70"/>
    </row>
    <row r="103" spans="6:11" ht="30" hidden="1" customHeight="1" x14ac:dyDescent="0.25">
      <c r="F103" s="70"/>
      <c r="K103" s="70"/>
    </row>
    <row r="104" spans="6:11" ht="30" hidden="1" customHeight="1" x14ac:dyDescent="0.25">
      <c r="F104" s="70"/>
      <c r="K104" s="70"/>
    </row>
    <row r="105" spans="6:11" ht="30" hidden="1" customHeight="1" x14ac:dyDescent="0.25">
      <c r="F105" s="70"/>
      <c r="K105" s="70"/>
    </row>
    <row r="106" spans="6:11" ht="30" hidden="1" customHeight="1" x14ac:dyDescent="0.25">
      <c r="F106" s="70"/>
      <c r="K106" s="70"/>
    </row>
    <row r="107" spans="6:11" ht="30" hidden="1" customHeight="1" x14ac:dyDescent="0.25">
      <c r="F107" s="70"/>
      <c r="K107" s="70"/>
    </row>
    <row r="108" spans="6:11" ht="30" hidden="1" customHeight="1" x14ac:dyDescent="0.25">
      <c r="F108" s="70"/>
      <c r="K108" s="70"/>
    </row>
    <row r="109" spans="6:11" ht="30" hidden="1" customHeight="1" x14ac:dyDescent="0.25">
      <c r="F109" s="70"/>
      <c r="K109" s="70"/>
    </row>
    <row r="110" spans="6:11" ht="30" hidden="1" customHeight="1" x14ac:dyDescent="0.25">
      <c r="F110" s="70"/>
      <c r="K110" s="70"/>
    </row>
    <row r="111" spans="6:11" ht="30" hidden="1" customHeight="1" x14ac:dyDescent="0.25">
      <c r="F111" s="70"/>
      <c r="K111" s="70"/>
    </row>
    <row r="112" spans="6:11" ht="30" hidden="1" customHeight="1" x14ac:dyDescent="0.25">
      <c r="F112" s="70"/>
      <c r="K112" s="70"/>
    </row>
    <row r="113" spans="3:11" ht="30" hidden="1" customHeight="1" x14ac:dyDescent="0.25">
      <c r="F113" s="70"/>
      <c r="K113" s="70"/>
    </row>
    <row r="114" spans="3:11" ht="30" hidden="1" customHeight="1" x14ac:dyDescent="0.25">
      <c r="F114" s="70"/>
      <c r="K114" s="70"/>
    </row>
    <row r="115" spans="3:11" ht="30" hidden="1" customHeight="1" x14ac:dyDescent="0.25">
      <c r="F115" s="70"/>
      <c r="K115" s="70"/>
    </row>
    <row r="116" spans="3:11" ht="30" hidden="1" customHeight="1" x14ac:dyDescent="0.25">
      <c r="F116" s="70"/>
    </row>
    <row r="117" spans="3:11" ht="30" hidden="1" customHeight="1" x14ac:dyDescent="0.25">
      <c r="F117" s="70"/>
      <c r="G117" s="56" t="str">
        <f>'Enter data for chemicals here'!C16</f>
        <v>Other</v>
      </c>
      <c r="H117" s="71">
        <f>'Enter data for chemicals here'!D16*'Enter data for chemicals here'!G16</f>
        <v>0</v>
      </c>
      <c r="I117" s="60" t="e">
        <f>'Enter data here'!#REF!*'Enter data here'!#REF!</f>
        <v>#REF!</v>
      </c>
      <c r="J117" s="71" t="e">
        <f>'Enter data for chemicals here'!#REF!*'Enter data for chemicals here'!I16</f>
        <v>#REF!</v>
      </c>
      <c r="K117" s="70"/>
    </row>
    <row r="118" spans="3:11" ht="30" hidden="1" customHeight="1" x14ac:dyDescent="0.25">
      <c r="F118" s="70"/>
      <c r="G118" s="63"/>
      <c r="H118" s="70"/>
      <c r="I118" s="28"/>
      <c r="J118" s="70"/>
      <c r="K118" s="70"/>
    </row>
    <row r="119" spans="3:11" ht="30" hidden="1" customHeight="1" x14ac:dyDescent="0.25">
      <c r="F119" s="70"/>
      <c r="G119" s="70"/>
    </row>
    <row r="120" spans="3:11" ht="30" hidden="1" customHeight="1" x14ac:dyDescent="0.25">
      <c r="F120" s="70"/>
      <c r="G120" s="70"/>
    </row>
    <row r="121" spans="3:11" ht="30" hidden="1" customHeight="1" x14ac:dyDescent="0.25">
      <c r="F121" s="70"/>
      <c r="G121" s="70"/>
    </row>
    <row r="122" spans="3:11" ht="30" hidden="1" customHeight="1" x14ac:dyDescent="0.25">
      <c r="F122" s="70"/>
      <c r="G122" s="70"/>
    </row>
    <row r="123" spans="3:11" ht="30" hidden="1" customHeight="1" x14ac:dyDescent="0.25">
      <c r="F123" s="70"/>
      <c r="G123" s="70"/>
    </row>
    <row r="124" spans="3:11" ht="30" hidden="1" customHeight="1" x14ac:dyDescent="0.25">
      <c r="F124" s="70"/>
      <c r="G124" s="25"/>
      <c r="H124" s="31"/>
      <c r="I124" s="31"/>
      <c r="J124" s="31"/>
      <c r="K124" s="31"/>
    </row>
    <row r="125" spans="3:11" ht="30" hidden="1" customHeight="1" x14ac:dyDescent="0.25">
      <c r="F125" s="70"/>
      <c r="G125" s="25"/>
      <c r="H125" s="31"/>
      <c r="I125" s="31"/>
      <c r="J125" s="31"/>
      <c r="K125" s="31"/>
    </row>
    <row r="126" spans="3:11" ht="30" hidden="1" customHeight="1" x14ac:dyDescent="0.25">
      <c r="C126" s="70"/>
      <c r="D126" s="70"/>
      <c r="E126" s="70"/>
      <c r="F126" s="70"/>
      <c r="G126" s="25"/>
      <c r="H126" s="31"/>
      <c r="I126" s="31"/>
      <c r="J126" s="31"/>
      <c r="K126" s="31"/>
    </row>
    <row r="127" spans="3:11" ht="30" hidden="1" customHeight="1" x14ac:dyDescent="0.25">
      <c r="C127" s="70"/>
      <c r="D127" s="70"/>
      <c r="E127" s="70"/>
      <c r="F127" s="70"/>
      <c r="G127" s="25"/>
      <c r="H127" s="31"/>
      <c r="I127" s="31"/>
      <c r="J127" s="31"/>
      <c r="K127" s="31"/>
    </row>
    <row r="128" spans="3:11" ht="30" hidden="1" customHeight="1" x14ac:dyDescent="0.25">
      <c r="C128" s="70"/>
      <c r="D128" s="70"/>
      <c r="E128" s="70"/>
      <c r="F128" s="70"/>
      <c r="G128" s="25"/>
      <c r="H128" s="31"/>
      <c r="I128" s="31"/>
      <c r="J128" s="31"/>
      <c r="K128" s="31"/>
    </row>
    <row r="129" spans="3:11" ht="30" hidden="1" customHeight="1" x14ac:dyDescent="0.25">
      <c r="C129" s="70"/>
      <c r="D129" s="70"/>
      <c r="E129" s="70"/>
      <c r="F129" s="70"/>
      <c r="G129" s="25"/>
      <c r="H129" s="31"/>
      <c r="I129" s="31"/>
      <c r="J129" s="31"/>
      <c r="K129" s="31"/>
    </row>
    <row r="130" spans="3:11" ht="30" hidden="1" customHeight="1" x14ac:dyDescent="0.25">
      <c r="C130" s="70"/>
      <c r="D130" s="70"/>
      <c r="E130" s="70"/>
      <c r="F130" s="70"/>
      <c r="G130" s="25"/>
      <c r="H130" s="31"/>
      <c r="I130" s="31"/>
      <c r="J130" s="31"/>
      <c r="K130" s="31"/>
    </row>
    <row r="131" spans="3:11" ht="30" hidden="1" customHeight="1" x14ac:dyDescent="0.25">
      <c r="C131" s="70"/>
      <c r="D131" s="70"/>
      <c r="E131" s="70"/>
      <c r="F131" s="70"/>
      <c r="G131" s="25"/>
      <c r="H131" s="31"/>
      <c r="I131" s="31"/>
      <c r="J131" s="31"/>
      <c r="K131" s="31"/>
    </row>
    <row r="132" spans="3:11" ht="30" hidden="1" customHeight="1" x14ac:dyDescent="0.25">
      <c r="C132" s="70"/>
      <c r="D132" s="70"/>
      <c r="E132" s="70"/>
      <c r="F132" s="70"/>
      <c r="G132" s="25"/>
      <c r="H132" s="31"/>
      <c r="I132" s="31"/>
      <c r="J132" s="31"/>
      <c r="K132" s="31"/>
    </row>
    <row r="133" spans="3:11" ht="30" hidden="1" customHeight="1" x14ac:dyDescent="0.25">
      <c r="C133" s="70"/>
      <c r="D133" s="70"/>
      <c r="E133" s="70"/>
      <c r="F133" s="70"/>
      <c r="G133" s="25"/>
      <c r="H133" s="31"/>
      <c r="I133" s="31"/>
      <c r="J133" s="31"/>
      <c r="K133" s="31"/>
    </row>
    <row r="134" spans="3:11" ht="30" hidden="1" customHeight="1" x14ac:dyDescent="0.25">
      <c r="C134" s="70"/>
      <c r="D134" s="70"/>
      <c r="E134" s="70"/>
      <c r="F134" s="70"/>
      <c r="G134" s="25"/>
      <c r="H134" s="31"/>
      <c r="I134" s="31"/>
      <c r="J134" s="31"/>
      <c r="K134" s="31"/>
    </row>
    <row r="135" spans="3:11" ht="30" hidden="1" customHeight="1" x14ac:dyDescent="0.25">
      <c r="C135" s="70"/>
      <c r="D135" s="70"/>
      <c r="E135" s="70"/>
      <c r="F135" s="70"/>
      <c r="G135" s="25"/>
      <c r="H135" s="31"/>
      <c r="I135" s="31"/>
      <c r="J135" s="31"/>
      <c r="K135" s="31"/>
    </row>
    <row r="136" spans="3:11" ht="30" hidden="1" customHeight="1" x14ac:dyDescent="0.25">
      <c r="C136" s="70"/>
      <c r="D136" s="70"/>
      <c r="E136" s="70"/>
      <c r="F136" s="70"/>
      <c r="G136" s="25"/>
      <c r="H136" s="31"/>
      <c r="I136" s="31"/>
      <c r="J136" s="31"/>
      <c r="K136" s="31"/>
    </row>
    <row r="137" spans="3:11" ht="30" hidden="1" customHeight="1" x14ac:dyDescent="0.25">
      <c r="C137" s="70"/>
      <c r="D137" s="70"/>
      <c r="E137" s="70"/>
      <c r="F137" s="70"/>
      <c r="G137" s="25"/>
      <c r="H137" s="31"/>
      <c r="I137" s="31"/>
      <c r="J137" s="31"/>
      <c r="K137" s="31"/>
    </row>
    <row r="138" spans="3:11" ht="30" hidden="1" customHeight="1" x14ac:dyDescent="0.25">
      <c r="C138" s="70"/>
      <c r="D138" s="70"/>
      <c r="E138" s="70"/>
      <c r="F138" s="70"/>
      <c r="G138" s="25"/>
      <c r="H138" s="31"/>
      <c r="I138" s="31"/>
      <c r="J138" s="31"/>
      <c r="K138" s="31"/>
    </row>
    <row r="139" spans="3:11" ht="30" hidden="1" customHeight="1" x14ac:dyDescent="0.25">
      <c r="C139" s="70"/>
      <c r="D139" s="70"/>
      <c r="E139" s="70"/>
      <c r="F139" s="70"/>
      <c r="G139" s="25"/>
      <c r="H139" s="31"/>
      <c r="I139" s="31"/>
      <c r="J139" s="31"/>
      <c r="K139" s="31"/>
    </row>
    <row r="140" spans="3:11" ht="30" hidden="1" customHeight="1" x14ac:dyDescent="0.25">
      <c r="C140" s="70"/>
      <c r="D140" s="70"/>
      <c r="E140" s="70"/>
      <c r="F140" s="70"/>
      <c r="G140" s="25"/>
      <c r="H140" s="31"/>
      <c r="I140" s="31"/>
      <c r="J140" s="31"/>
      <c r="K140" s="31"/>
    </row>
    <row r="141" spans="3:11" ht="30" hidden="1" customHeight="1" x14ac:dyDescent="0.25"/>
    <row r="142" spans="3:11" ht="15" hidden="1" x14ac:dyDescent="0.25"/>
    <row r="143" spans="3:11" ht="15" hidden="1" x14ac:dyDescent="0.25"/>
    <row r="144" spans="3:11" ht="15" hidden="1" x14ac:dyDescent="0.25"/>
    <row r="145" ht="15" hidden="1" x14ac:dyDescent="0.25"/>
    <row r="146" ht="15" hidden="1" x14ac:dyDescent="0.25"/>
  </sheetData>
  <sheetProtection sheet="1" objects="1" scenarios="1"/>
  <mergeCells count="22">
    <mergeCell ref="B21:K21"/>
    <mergeCell ref="D9:I9"/>
    <mergeCell ref="D10:E10"/>
    <mergeCell ref="H10:I10"/>
    <mergeCell ref="D11:E11"/>
    <mergeCell ref="H11:I11"/>
    <mergeCell ref="I18:I19"/>
    <mergeCell ref="F10:G10"/>
    <mergeCell ref="F11:G11"/>
    <mergeCell ref="C3:J3"/>
    <mergeCell ref="D6:E6"/>
    <mergeCell ref="D7:E7"/>
    <mergeCell ref="F6:G6"/>
    <mergeCell ref="F7:G7"/>
    <mergeCell ref="H6:I6"/>
    <mergeCell ref="H7:I7"/>
    <mergeCell ref="D5:I5"/>
    <mergeCell ref="G26:G27"/>
    <mergeCell ref="G24:G25"/>
    <mergeCell ref="G29:G33"/>
    <mergeCell ref="G34:G35"/>
    <mergeCell ref="G36:G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28"/>
  <sheetViews>
    <sheetView showGridLines="0" topLeftCell="A2" zoomScale="90" zoomScaleNormal="90" workbookViewId="0">
      <selection activeCell="H4" sqref="H4"/>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57" t="s">
        <v>224</v>
      </c>
      <c r="C3" s="357"/>
      <c r="D3" s="357"/>
      <c r="E3" s="357"/>
      <c r="F3" s="357"/>
      <c r="G3" s="357"/>
      <c r="H3" s="357"/>
      <c r="I3" s="357"/>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58"/>
      <c r="C17" s="358"/>
      <c r="D17" s="358"/>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B12" sqref="B12"/>
    </sheetView>
  </sheetViews>
  <sheetFormatPr defaultRowHeight="15" x14ac:dyDescent="0.25"/>
  <cols>
    <col min="2" max="2" width="17.28515625" customWidth="1"/>
  </cols>
  <sheetData>
    <row r="3" spans="2:3" x14ac:dyDescent="0.25">
      <c r="C3" t="s">
        <v>65</v>
      </c>
    </row>
    <row r="4" spans="2:3" x14ac:dyDescent="0.25">
      <c r="B4" t="s">
        <v>74</v>
      </c>
      <c r="C4" s="178">
        <f>SUM('Results presentation in table'!B14:E14)</f>
        <v>0</v>
      </c>
    </row>
    <row r="5" spans="2:3" x14ac:dyDescent="0.25">
      <c r="B5" t="s">
        <v>75</v>
      </c>
      <c r="C5" s="178">
        <f>SUM('Results presentation in table'!F14)</f>
        <v>0</v>
      </c>
    </row>
    <row r="6" spans="2:3" x14ac:dyDescent="0.25">
      <c r="B6" t="s">
        <v>76</v>
      </c>
      <c r="C6" s="178">
        <f>SUM('Results presentation in table'!G14:J14)</f>
        <v>0</v>
      </c>
    </row>
    <row r="7" spans="2:3" x14ac:dyDescent="0.25">
      <c r="B7" t="s">
        <v>328</v>
      </c>
      <c r="C7">
        <f>'Benefits from by-products'!H15/1000</f>
        <v>0</v>
      </c>
    </row>
    <row r="8" spans="2:3" x14ac:dyDescent="0.25">
      <c r="B8" t="s">
        <v>329</v>
      </c>
      <c r="C8">
        <f>SUM('Benefits from by-products'!H16:H19)/1000</f>
        <v>0</v>
      </c>
    </row>
    <row r="9" spans="2:3" x14ac:dyDescent="0.25">
      <c r="B9" t="s">
        <v>351</v>
      </c>
      <c r="C9" s="178">
        <f>SUM('Benefits from by-products'!H26:H29)/1000+'Benefits from by-products'!H32/1000</f>
        <v>0</v>
      </c>
    </row>
    <row r="10" spans="2:3" x14ac:dyDescent="0.25">
      <c r="B10" t="s">
        <v>330</v>
      </c>
      <c r="C10">
        <f>('Benefits from by-products'!H39+'Benefits from by-products'!H40)/1000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28"/>
  <sheetViews>
    <sheetView showGridLines="0"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57" t="s">
        <v>271</v>
      </c>
      <c r="C3" s="357"/>
      <c r="D3" s="357"/>
      <c r="E3" s="357"/>
      <c r="F3" s="357"/>
      <c r="G3" s="357"/>
      <c r="H3" s="357"/>
      <c r="I3" s="357"/>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58"/>
      <c r="C17" s="358"/>
      <c r="D17" s="358"/>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101"/>
  <sheetViews>
    <sheetView showGridLines="0" zoomScale="80" zoomScaleNormal="80" workbookViewId="0">
      <selection activeCell="B3" sqref="B3:G3"/>
    </sheetView>
  </sheetViews>
  <sheetFormatPr defaultColWidth="0" defaultRowHeight="39.950000000000003" customHeight="1" zeroHeight="1" x14ac:dyDescent="0.25"/>
  <cols>
    <col min="1" max="1" width="8.7109375" customWidth="1"/>
    <col min="2" max="2" width="40.7109375" customWidth="1"/>
    <col min="3" max="3" width="60.7109375" customWidth="1"/>
    <col min="4" max="5" width="20.7109375" customWidth="1"/>
    <col min="6" max="6" width="40.7109375" customWidth="1"/>
    <col min="7" max="7" width="60.7109375" customWidth="1"/>
    <col min="8" max="8" width="8.7109375" customWidth="1"/>
    <col min="9" max="9" width="8.7109375" hidden="1" customWidth="1"/>
    <col min="10" max="10" width="30.7109375" hidden="1" customWidth="1"/>
    <col min="11" max="16384" width="8.7109375" hidden="1"/>
  </cols>
  <sheetData>
    <row r="1" spans="1:7" ht="39.950000000000003" customHeight="1" x14ac:dyDescent="0.25"/>
    <row r="2" spans="1:7" ht="39.950000000000003" customHeight="1" x14ac:dyDescent="0.25">
      <c r="A2" s="23">
        <v>1000</v>
      </c>
      <c r="B2" s="24"/>
      <c r="C2" s="24"/>
    </row>
    <row r="3" spans="1:7" ht="39.950000000000003" customHeight="1" x14ac:dyDescent="0.25">
      <c r="B3" s="345" t="s">
        <v>275</v>
      </c>
      <c r="C3" s="345"/>
      <c r="D3" s="345"/>
      <c r="E3" s="345"/>
      <c r="F3" s="345"/>
      <c r="G3" s="345"/>
    </row>
    <row r="4" spans="1:7" ht="39.950000000000003" customHeight="1" x14ac:dyDescent="0.25">
      <c r="B4" s="364" t="s">
        <v>276</v>
      </c>
      <c r="C4" s="364"/>
      <c r="D4" s="364"/>
      <c r="E4" s="364"/>
      <c r="F4" s="364"/>
      <c r="G4" s="364"/>
    </row>
    <row r="5" spans="1:7" ht="20.100000000000001" customHeight="1" x14ac:dyDescent="0.25">
      <c r="B5" s="63"/>
      <c r="C5" s="63"/>
      <c r="D5" s="63"/>
      <c r="E5" s="63"/>
      <c r="F5" s="63"/>
      <c r="G5" s="63"/>
    </row>
    <row r="6" spans="1:7" ht="39.950000000000003" customHeight="1" x14ac:dyDescent="0.25">
      <c r="B6" s="54" t="s">
        <v>96</v>
      </c>
      <c r="C6" s="55" t="s">
        <v>278</v>
      </c>
      <c r="D6" s="68"/>
      <c r="E6" s="68"/>
      <c r="F6" s="55" t="s">
        <v>118</v>
      </c>
      <c r="G6" s="55" t="s">
        <v>278</v>
      </c>
    </row>
    <row r="7" spans="1:7" ht="39.950000000000003" customHeight="1" x14ac:dyDescent="0.25">
      <c r="B7" s="56" t="s">
        <v>97</v>
      </c>
      <c r="C7" s="108" t="s">
        <v>434</v>
      </c>
      <c r="D7" s="28"/>
      <c r="E7" s="28"/>
      <c r="F7" s="58" t="s">
        <v>309</v>
      </c>
      <c r="G7" s="102" t="s">
        <v>488</v>
      </c>
    </row>
    <row r="8" spans="1:7" ht="39.950000000000003" customHeight="1" x14ac:dyDescent="0.25">
      <c r="B8" s="56" t="s">
        <v>242</v>
      </c>
      <c r="C8" s="108" t="s">
        <v>58</v>
      </c>
      <c r="D8" s="28"/>
      <c r="E8" s="28"/>
      <c r="F8" s="58" t="s">
        <v>486</v>
      </c>
      <c r="G8" s="102" t="s">
        <v>418</v>
      </c>
    </row>
    <row r="9" spans="1:7" ht="39.950000000000003" customHeight="1" x14ac:dyDescent="0.25">
      <c r="B9" s="58" t="s">
        <v>277</v>
      </c>
      <c r="C9" s="108" t="s">
        <v>487</v>
      </c>
      <c r="D9" s="28"/>
      <c r="E9" s="28"/>
      <c r="F9" s="58" t="s">
        <v>485</v>
      </c>
      <c r="G9" s="102" t="s">
        <v>419</v>
      </c>
    </row>
    <row r="10" spans="1:7" ht="39.950000000000003" customHeight="1" x14ac:dyDescent="0.25">
      <c r="B10" s="56" t="s">
        <v>99</v>
      </c>
      <c r="C10" s="108" t="s">
        <v>414</v>
      </c>
      <c r="D10" s="28"/>
      <c r="E10" s="28"/>
      <c r="F10" s="58" t="s">
        <v>310</v>
      </c>
      <c r="G10" s="102" t="s">
        <v>489</v>
      </c>
    </row>
    <row r="11" spans="1:7" ht="39.950000000000003" customHeight="1" x14ac:dyDescent="0.25">
      <c r="B11" s="71" t="s">
        <v>379</v>
      </c>
      <c r="C11" s="71" t="s">
        <v>415</v>
      </c>
      <c r="D11" s="28"/>
      <c r="E11" s="28"/>
      <c r="F11" s="157" t="s">
        <v>311</v>
      </c>
      <c r="G11" s="102" t="s">
        <v>61</v>
      </c>
    </row>
    <row r="12" spans="1:7" ht="39.950000000000003" customHeight="1" x14ac:dyDescent="0.25">
      <c r="D12" s="68"/>
      <c r="E12" s="68"/>
      <c r="F12" s="111" t="s">
        <v>312</v>
      </c>
      <c r="G12" s="102" t="s">
        <v>61</v>
      </c>
    </row>
    <row r="13" spans="1:7" ht="39.950000000000003" customHeight="1" x14ac:dyDescent="0.25">
      <c r="B13" s="55" t="s">
        <v>279</v>
      </c>
      <c r="C13" s="55" t="s">
        <v>278</v>
      </c>
      <c r="D13" s="28"/>
      <c r="E13" s="28"/>
      <c r="F13" s="157" t="s">
        <v>315</v>
      </c>
      <c r="G13" s="102" t="s">
        <v>61</v>
      </c>
    </row>
    <row r="14" spans="1:7" ht="39.950000000000003" customHeight="1" x14ac:dyDescent="0.25">
      <c r="B14" s="58" t="s">
        <v>107</v>
      </c>
      <c r="C14" s="102" t="s">
        <v>416</v>
      </c>
      <c r="D14" s="28"/>
      <c r="E14" s="28"/>
      <c r="F14" s="71" t="s">
        <v>313</v>
      </c>
      <c r="G14" s="102" t="s">
        <v>490</v>
      </c>
    </row>
    <row r="15" spans="1:7" ht="39.950000000000003" customHeight="1" x14ac:dyDescent="0.25">
      <c r="B15" s="58" t="s">
        <v>280</v>
      </c>
      <c r="C15" s="102" t="s">
        <v>417</v>
      </c>
      <c r="D15" s="28"/>
      <c r="E15" s="28"/>
      <c r="F15" s="71" t="s">
        <v>314</v>
      </c>
      <c r="G15" s="102" t="s">
        <v>488</v>
      </c>
    </row>
    <row r="16" spans="1:7" ht="39.950000000000003" customHeight="1" x14ac:dyDescent="0.25">
      <c r="B16" s="58" t="s">
        <v>281</v>
      </c>
      <c r="C16" s="110" t="s">
        <v>82</v>
      </c>
      <c r="D16" s="28"/>
      <c r="E16" s="28"/>
    </row>
    <row r="17" spans="2:7" ht="39.950000000000003" customHeight="1" x14ac:dyDescent="0.25">
      <c r="D17" s="28"/>
      <c r="E17" s="28"/>
      <c r="F17" s="54" t="s">
        <v>317</v>
      </c>
      <c r="G17" s="55" t="s">
        <v>316</v>
      </c>
    </row>
    <row r="18" spans="2:7" ht="39.950000000000003" customHeight="1" x14ac:dyDescent="0.25">
      <c r="B18" s="54" t="s">
        <v>112</v>
      </c>
      <c r="C18" s="55" t="s">
        <v>278</v>
      </c>
      <c r="D18" s="28"/>
      <c r="E18" s="28"/>
      <c r="F18" s="71" t="s">
        <v>318</v>
      </c>
      <c r="G18" s="102" t="str">
        <f>E84</f>
        <v>Magnusson &amp; Yngvesson (2023)</v>
      </c>
    </row>
    <row r="19" spans="2:7" ht="39.950000000000003" customHeight="1" x14ac:dyDescent="0.25">
      <c r="B19" s="56" t="str">
        <f>'Enter data here'!D36</f>
        <v>Diesel MK3</v>
      </c>
      <c r="C19" s="137" t="s">
        <v>491</v>
      </c>
      <c r="D19" s="28"/>
      <c r="E19" s="28"/>
      <c r="F19" s="71" t="s">
        <v>319</v>
      </c>
      <c r="G19" s="102" t="s">
        <v>63</v>
      </c>
    </row>
    <row r="20" spans="2:7" ht="39.950000000000003" customHeight="1" x14ac:dyDescent="0.25">
      <c r="B20" s="56" t="str">
        <f>'Enter data here'!D37</f>
        <v>Petrol MK1</v>
      </c>
      <c r="C20" s="137" t="str">
        <f>C19</f>
        <v>Energimyndigheten (2025)</v>
      </c>
      <c r="D20" s="86"/>
      <c r="E20" s="86"/>
      <c r="F20" s="71" t="s">
        <v>320</v>
      </c>
      <c r="G20" s="71" t="s">
        <v>62</v>
      </c>
    </row>
    <row r="21" spans="2:7" ht="39.950000000000003" customHeight="1" x14ac:dyDescent="0.25">
      <c r="B21" s="56" t="str">
        <f>'Enter data here'!D38</f>
        <v>E85</v>
      </c>
      <c r="C21" s="137" t="str">
        <f t="shared" ref="C21:C25" si="0">C20</f>
        <v>Energimyndigheten (2025)</v>
      </c>
      <c r="D21" s="109"/>
      <c r="E21" s="109"/>
    </row>
    <row r="22" spans="2:7" ht="39.950000000000003" customHeight="1" x14ac:dyDescent="0.25">
      <c r="B22" s="56" t="str">
        <f>'Enter data here'!D39</f>
        <v>HVO (100%)</v>
      </c>
      <c r="C22" s="137" t="str">
        <f t="shared" si="0"/>
        <v>Energimyndigheten (2025)</v>
      </c>
    </row>
    <row r="23" spans="2:7" ht="39.950000000000003" customHeight="1" x14ac:dyDescent="0.25">
      <c r="B23" s="56" t="str">
        <f>'Enter data here'!D40</f>
        <v xml:space="preserve">FAME (100%) </v>
      </c>
      <c r="C23" s="137" t="str">
        <f t="shared" si="0"/>
        <v>Energimyndigheten (2025)</v>
      </c>
    </row>
    <row r="24" spans="2:7" ht="39.950000000000003" customHeight="1" x14ac:dyDescent="0.25">
      <c r="B24" s="56" t="str">
        <f>'Enter data here'!D41</f>
        <v>LNG [kg]</v>
      </c>
      <c r="C24" s="137" t="str">
        <f t="shared" si="0"/>
        <v>Energimyndigheten (2025)</v>
      </c>
    </row>
    <row r="25" spans="2:7" ht="39.950000000000003" customHeight="1" x14ac:dyDescent="0.25">
      <c r="B25" s="56" t="str">
        <f>'Enter data here'!D42</f>
        <v>Biogas, externally produced [kg]</v>
      </c>
      <c r="C25" s="137" t="str">
        <f t="shared" si="0"/>
        <v>Energimyndigheten (2025)</v>
      </c>
    </row>
    <row r="26" spans="2:7" ht="39.950000000000003" customHeight="1" x14ac:dyDescent="0.25">
      <c r="B26" s="167"/>
      <c r="C26" s="167"/>
      <c r="D26" s="167"/>
      <c r="E26" s="167"/>
      <c r="F26" s="167"/>
      <c r="G26" s="167"/>
    </row>
    <row r="27" spans="2:7" ht="39.950000000000003" customHeight="1" x14ac:dyDescent="0.25"/>
    <row r="28" spans="2:7" ht="39.950000000000003" customHeight="1" x14ac:dyDescent="0.25">
      <c r="B28" s="54" t="s">
        <v>282</v>
      </c>
      <c r="C28" s="54" t="s">
        <v>278</v>
      </c>
      <c r="F28" s="54" t="s">
        <v>321</v>
      </c>
      <c r="G28" s="54" t="s">
        <v>278</v>
      </c>
    </row>
    <row r="29" spans="2:7" ht="39.950000000000003" customHeight="1" x14ac:dyDescent="0.25">
      <c r="B29" s="71" t="s">
        <v>174</v>
      </c>
      <c r="C29" s="58" t="s">
        <v>492</v>
      </c>
      <c r="F29" s="71" t="str">
        <f>'Enter data for chemicals here'!C60</f>
        <v>Activated carbon, fossil origin</v>
      </c>
      <c r="G29" s="89" t="s">
        <v>420</v>
      </c>
    </row>
    <row r="30" spans="2:7" ht="39.950000000000003" customHeight="1" x14ac:dyDescent="0.25">
      <c r="B30" s="71" t="s">
        <v>175</v>
      </c>
      <c r="C30" s="58" t="s">
        <v>59</v>
      </c>
      <c r="F30" s="71" t="str">
        <f>'Enter data for chemicals here'!C61</f>
        <v>Activated carbon, reactivated</v>
      </c>
      <c r="G30" s="102" t="s">
        <v>421</v>
      </c>
    </row>
    <row r="31" spans="2:7" ht="39.950000000000003" customHeight="1" x14ac:dyDescent="0.25">
      <c r="B31" s="71" t="s">
        <v>176</v>
      </c>
      <c r="C31" s="58" t="s">
        <v>493</v>
      </c>
      <c r="F31" s="71" t="str">
        <f>'Enter data for chemicals here'!C62</f>
        <v>Activated carbon, coconut based</v>
      </c>
      <c r="G31" s="71" t="s">
        <v>495</v>
      </c>
    </row>
    <row r="32" spans="2:7" ht="39.950000000000003" customHeight="1" x14ac:dyDescent="0.25">
      <c r="B32" s="71" t="s">
        <v>177</v>
      </c>
      <c r="C32" s="58" t="s">
        <v>494</v>
      </c>
      <c r="F32" s="71" t="str">
        <f>'Enter data for chemicals here'!C63</f>
        <v>Sand</v>
      </c>
      <c r="G32" s="71" t="s">
        <v>422</v>
      </c>
    </row>
    <row r="33" spans="2:7" ht="39.950000000000003" customHeight="1" x14ac:dyDescent="0.25">
      <c r="B33" s="71" t="s">
        <v>54</v>
      </c>
      <c r="C33" s="58" t="str">
        <f>C31</f>
        <v>Schablon</v>
      </c>
      <c r="F33" s="71" t="str">
        <f>'Enter data for chemicals here'!C64</f>
        <v>Quicklime (CaO)</v>
      </c>
      <c r="G33" s="89" t="s">
        <v>496</v>
      </c>
    </row>
    <row r="34" spans="2:7" ht="39.950000000000003" customHeight="1" x14ac:dyDescent="0.25">
      <c r="B34" s="71" t="s">
        <v>431</v>
      </c>
      <c r="C34" s="71" t="s">
        <v>432</v>
      </c>
      <c r="F34" s="71" t="str">
        <f>'Enter data for chemicals here'!C65</f>
        <v>Calcium hydroxide (Ca(OH)2)</v>
      </c>
      <c r="G34" s="89" t="s">
        <v>497</v>
      </c>
    </row>
    <row r="35" spans="2:7" ht="39.950000000000003" customHeight="1" x14ac:dyDescent="0.25">
      <c r="B35" s="71" t="s">
        <v>283</v>
      </c>
      <c r="C35" s="58" t="s">
        <v>60</v>
      </c>
      <c r="D35" s="70"/>
      <c r="E35" s="70"/>
      <c r="F35" s="71" t="str">
        <f>'Enter data for chemicals here'!C66</f>
        <v>Limestone (CaCO3)</v>
      </c>
      <c r="G35" s="89" t="s">
        <v>423</v>
      </c>
    </row>
    <row r="36" spans="2:7" ht="39.950000000000003" customHeight="1" x14ac:dyDescent="0.25">
      <c r="D36" s="70"/>
      <c r="E36" s="70"/>
      <c r="F36" s="71" t="str">
        <f>'Enter data for chemicals here'!C67</f>
        <v>Sodium chloride</v>
      </c>
      <c r="G36" s="71" t="s">
        <v>498</v>
      </c>
    </row>
    <row r="37" spans="2:7" ht="39.950000000000003" customHeight="1" x14ac:dyDescent="0.25">
      <c r="B37" s="54" t="s">
        <v>284</v>
      </c>
      <c r="C37" s="54" t="s">
        <v>278</v>
      </c>
      <c r="D37" s="70"/>
      <c r="E37" s="70"/>
      <c r="F37" s="71" t="str">
        <f>'Enter data for chemicals here'!C68</f>
        <v>Sodium hydroxide (50 %)</v>
      </c>
      <c r="G37" s="89" t="s">
        <v>499</v>
      </c>
    </row>
    <row r="38" spans="2:7" ht="39.950000000000003" customHeight="1" x14ac:dyDescent="0.25">
      <c r="B38" s="58" t="str">
        <f>'Enter data for chemicals here'!C23</f>
        <v>Ferric chloride (PIX-111)</v>
      </c>
      <c r="C38" s="108" t="s">
        <v>454</v>
      </c>
      <c r="F38" s="71" t="str">
        <f>'Enter data for chemicals here'!C69</f>
        <v>Sodium hydroxide (25%)</v>
      </c>
      <c r="G38" s="89" t="s">
        <v>500</v>
      </c>
    </row>
    <row r="39" spans="2:7" ht="39.950000000000003" customHeight="1" x14ac:dyDescent="0.25">
      <c r="B39" s="58" t="str">
        <f>'Enter data for chemicals here'!C24</f>
        <v>Ferric chloride 
(Plusjärn S 314)</v>
      </c>
      <c r="C39" s="108" t="s">
        <v>455</v>
      </c>
      <c r="F39" s="71" t="str">
        <f>'Enter data for chemicals here'!C70</f>
        <v xml:space="preserve">Chlorine </v>
      </c>
      <c r="G39" s="89" t="s">
        <v>424</v>
      </c>
    </row>
    <row r="40" spans="2:7" ht="39.950000000000003" customHeight="1" x14ac:dyDescent="0.25">
      <c r="B40" s="58" t="str">
        <f>'Enter data for chemicals here'!C25</f>
        <v>Ferrous sulphate 
(e.g. Quickfloc)</v>
      </c>
      <c r="C40" s="108" t="s">
        <v>456</v>
      </c>
      <c r="D40" s="95"/>
      <c r="E40" s="95"/>
      <c r="F40" s="71" t="str">
        <f>'Enter data for chemicals here'!C71</f>
        <v>Sodium hypochlorite (50 %)</v>
      </c>
      <c r="G40" s="89" t="s">
        <v>425</v>
      </c>
    </row>
    <row r="41" spans="2:7" ht="39.950000000000003" customHeight="1" x14ac:dyDescent="0.25">
      <c r="B41" s="58" t="str">
        <f>'Enter data for chemicals here'!C26</f>
        <v>Ferric sulphate (PIX-113)</v>
      </c>
      <c r="C41" s="108" t="s">
        <v>454</v>
      </c>
      <c r="D41" s="95"/>
      <c r="E41" s="95"/>
      <c r="F41" s="71" t="str">
        <f>'Enter data for chemicals here'!C72</f>
        <v>Sodium hypochlorite (13%)</v>
      </c>
      <c r="G41" s="89" t="s">
        <v>501</v>
      </c>
    </row>
    <row r="42" spans="2:7" ht="39.950000000000003" customHeight="1" x14ac:dyDescent="0.25">
      <c r="B42" s="58" t="str">
        <f>'Enter data for chemicals here'!C27</f>
        <v>Ferric chloride sulphate 
(PIX-118)</v>
      </c>
      <c r="C42" s="108" t="s">
        <v>454</v>
      </c>
      <c r="D42" s="95"/>
      <c r="E42" s="95"/>
      <c r="F42" s="71" t="str">
        <f>'Enter data for chemicals here'!C73</f>
        <v>Hydrogen peroxide (49%)</v>
      </c>
      <c r="G42" s="89" t="s">
        <v>502</v>
      </c>
    </row>
    <row r="43" spans="2:7" ht="39.950000000000003" customHeight="1" x14ac:dyDescent="0.25">
      <c r="B43" s="58" t="str">
        <f>'Enter data for chemicals here'!C28</f>
        <v>Aluminium ferric chloride 
(Ekomix 1091)</v>
      </c>
      <c r="C43" s="108" t="s">
        <v>455</v>
      </c>
      <c r="D43" s="95"/>
      <c r="E43" s="95"/>
      <c r="F43" s="71" t="str">
        <f>'Enter data for chemicals here'!C74</f>
        <v>Sulphuric acid (96 %)</v>
      </c>
      <c r="G43" s="89" t="s">
        <v>458</v>
      </c>
    </row>
    <row r="44" spans="2:7" ht="39.950000000000003" customHeight="1" x14ac:dyDescent="0.25">
      <c r="B44" s="58" t="str">
        <f>'Enter data for chemicals here'!C29</f>
        <v>Aluminium sulphate (ALG)</v>
      </c>
      <c r="C44" s="108" t="s">
        <v>454</v>
      </c>
      <c r="D44" s="95"/>
      <c r="E44" s="95"/>
      <c r="F44" s="71" t="str">
        <f>'Enter data for chemicals here'!C75</f>
        <v>Sulphuric acid (36%)</v>
      </c>
      <c r="G44" s="89" t="s">
        <v>503</v>
      </c>
    </row>
    <row r="45" spans="2:7" ht="39.950000000000003" customHeight="1" x14ac:dyDescent="0.25">
      <c r="B45" s="58" t="str">
        <f>'Enter data for chemicals here'!C30</f>
        <v>PAC (Ekoflock 54)</v>
      </c>
      <c r="C45" s="108" t="s">
        <v>455</v>
      </c>
      <c r="D45" s="95"/>
      <c r="E45" s="95"/>
      <c r="F45" s="71" t="str">
        <f>'Enter data for chemicals here'!C76</f>
        <v>Hydrochloric acid (32 %)</v>
      </c>
      <c r="G45" s="89" t="s">
        <v>459</v>
      </c>
    </row>
    <row r="46" spans="2:7" ht="39.950000000000003" customHeight="1" x14ac:dyDescent="0.25">
      <c r="B46" s="58" t="str">
        <f>'Enter data for chemicals here'!C31</f>
        <v>PAC (Ekoflock 70)</v>
      </c>
      <c r="C46" s="108" t="s">
        <v>455</v>
      </c>
      <c r="D46" s="95"/>
      <c r="E46" s="95"/>
      <c r="F46" s="71" t="str">
        <f>'Enter data for chemicals here'!C77</f>
        <v>Nitric acid (60 %)</v>
      </c>
      <c r="G46" s="89" t="s">
        <v>426</v>
      </c>
    </row>
    <row r="47" spans="2:7" ht="39.950000000000003" customHeight="1" x14ac:dyDescent="0.25">
      <c r="B47" s="58" t="str">
        <f>'Enter data for chemicals here'!C32</f>
        <v>PAC (Ekoflock 75)</v>
      </c>
      <c r="C47" s="108" t="s">
        <v>455</v>
      </c>
      <c r="D47" s="95"/>
      <c r="E47" s="95"/>
      <c r="F47" s="71" t="str">
        <f>'Enter data for chemicals here'!C78</f>
        <v>Ammonium sulphate</v>
      </c>
      <c r="G47" s="89" t="s">
        <v>493</v>
      </c>
    </row>
    <row r="48" spans="2:7" ht="39.950000000000003" customHeight="1" x14ac:dyDescent="0.25">
      <c r="B48" s="58" t="str">
        <f>'Enter data for chemicals here'!C33</f>
        <v>PAC (Ekoflock 90, 91, 92)</v>
      </c>
      <c r="C48" s="108" t="s">
        <v>455</v>
      </c>
      <c r="D48" s="95"/>
      <c r="E48" s="95"/>
      <c r="F48" s="71" t="str">
        <f>'Enter data for chemicals here'!C79</f>
        <v>Sodium silicate</v>
      </c>
      <c r="G48" s="89" t="s">
        <v>493</v>
      </c>
    </row>
    <row r="49" spans="2:7" ht="39.950000000000003" customHeight="1" x14ac:dyDescent="0.25">
      <c r="B49" s="58" t="str">
        <f>'Enter data for chemicals here'!C34</f>
        <v>PAC (Ekoflock 96)</v>
      </c>
      <c r="C49" s="108" t="s">
        <v>455</v>
      </c>
      <c r="D49" s="95"/>
      <c r="E49" s="95"/>
      <c r="F49" s="71" t="str">
        <f>'Enter data for chemicals here'!C80</f>
        <v>Sodium carbonate</v>
      </c>
      <c r="G49" s="89" t="s">
        <v>493</v>
      </c>
    </row>
    <row r="50" spans="2:7" ht="39.950000000000003" customHeight="1" x14ac:dyDescent="0.25">
      <c r="B50" s="58" t="str">
        <f>'Enter data for chemicals here'!C35</f>
        <v>PAC (Pluspac S 1465)</v>
      </c>
      <c r="C50" s="108" t="s">
        <v>455</v>
      </c>
      <c r="D50" s="95"/>
      <c r="E50" s="95"/>
      <c r="F50" s="71" t="str">
        <f>'Enter data for chemicals here'!C81</f>
        <v>Carbon dioxide</v>
      </c>
      <c r="G50" s="89" t="s">
        <v>493</v>
      </c>
    </row>
    <row r="51" spans="2:7" ht="39.950000000000003" customHeight="1" x14ac:dyDescent="0.25">
      <c r="B51" s="58" t="str">
        <f>'Enter data for chemicals here'!C36</f>
        <v>PAC (PAX-15)</v>
      </c>
      <c r="C51" s="108" t="s">
        <v>454</v>
      </c>
      <c r="D51" s="95"/>
      <c r="E51" s="95"/>
      <c r="F51" s="71" t="str">
        <f>'Enter data for chemicals here'!C82</f>
        <v>Citric acid</v>
      </c>
      <c r="G51" s="89" t="s">
        <v>493</v>
      </c>
    </row>
    <row r="52" spans="2:7" ht="39.950000000000003" customHeight="1" x14ac:dyDescent="0.25">
      <c r="B52" s="58" t="str">
        <f>'Enter data for chemicals here'!C37</f>
        <v>PAC (PAX-215)</v>
      </c>
      <c r="C52" s="108" t="s">
        <v>454</v>
      </c>
      <c r="D52" s="95"/>
      <c r="E52" s="95"/>
    </row>
    <row r="53" spans="2:7" ht="39.950000000000003" customHeight="1" x14ac:dyDescent="0.25">
      <c r="B53" s="58" t="str">
        <f>'Enter data for chemicals here'!C38</f>
        <v>PAC (PAX-XL60)</v>
      </c>
      <c r="C53" s="108" t="s">
        <v>454</v>
      </c>
      <c r="D53" s="95"/>
      <c r="E53" s="95"/>
    </row>
    <row r="54" spans="2:7" ht="39.950000000000003" customHeight="1" x14ac:dyDescent="0.25">
      <c r="B54" s="58" t="str">
        <f>'Enter data for chemicals here'!C39</f>
        <v>PAC (PAX-XL260)</v>
      </c>
      <c r="C54" s="108" t="s">
        <v>454</v>
      </c>
      <c r="D54" s="95"/>
      <c r="E54" s="95"/>
    </row>
    <row r="55" spans="2:7" ht="39.950000000000003" customHeight="1" x14ac:dyDescent="0.25">
      <c r="B55" s="58" t="str">
        <f>'Enter data for chemicals here'!C40</f>
        <v>PAC (PAX-XL100)</v>
      </c>
      <c r="C55" s="108" t="s">
        <v>454</v>
      </c>
      <c r="D55" s="95"/>
      <c r="E55" s="95"/>
    </row>
    <row r="56" spans="2:7" ht="39.950000000000003" customHeight="1" x14ac:dyDescent="0.25">
      <c r="B56" s="235"/>
      <c r="C56" s="236"/>
      <c r="D56" s="95"/>
      <c r="E56" s="95"/>
    </row>
    <row r="57" spans="2:7" ht="39.950000000000003" customHeight="1" x14ac:dyDescent="0.25">
      <c r="B57" s="54" t="s">
        <v>57</v>
      </c>
      <c r="C57" s="55" t="s">
        <v>278</v>
      </c>
      <c r="D57" s="95"/>
      <c r="E57" s="95"/>
    </row>
    <row r="58" spans="2:7" ht="39.950000000000003" customHeight="1" x14ac:dyDescent="0.25">
      <c r="B58" s="89" t="s">
        <v>178</v>
      </c>
      <c r="C58" s="110" t="s">
        <v>493</v>
      </c>
      <c r="D58" s="95"/>
      <c r="E58" s="95"/>
    </row>
    <row r="59" spans="2:7" ht="39.950000000000003" customHeight="1" x14ac:dyDescent="0.25">
      <c r="B59" s="167"/>
      <c r="C59" s="167"/>
      <c r="D59" s="189"/>
      <c r="E59" s="189"/>
      <c r="F59" s="167"/>
      <c r="G59" s="167"/>
    </row>
    <row r="60" spans="2:7" ht="39.950000000000003" customHeight="1" x14ac:dyDescent="0.25">
      <c r="D60" s="95"/>
      <c r="E60" s="95"/>
    </row>
    <row r="61" spans="2:7" ht="39.950000000000003" customHeight="1" x14ac:dyDescent="0.25">
      <c r="B61" s="79" t="s">
        <v>285</v>
      </c>
      <c r="C61" s="112" t="s">
        <v>278</v>
      </c>
      <c r="D61" s="95"/>
      <c r="E61" s="95"/>
      <c r="F61" s="79" t="s">
        <v>322</v>
      </c>
      <c r="G61" s="112" t="s">
        <v>278</v>
      </c>
    </row>
    <row r="62" spans="2:7" ht="39.950000000000003" customHeight="1" x14ac:dyDescent="0.25">
      <c r="B62" s="102" t="s">
        <v>504</v>
      </c>
      <c r="C62" s="102" t="s">
        <v>427</v>
      </c>
      <c r="D62" s="95"/>
      <c r="E62" s="95"/>
      <c r="F62" s="102" t="s">
        <v>323</v>
      </c>
      <c r="G62" s="110" t="s">
        <v>64</v>
      </c>
    </row>
    <row r="63" spans="2:7" ht="39.950000000000003" customHeight="1" x14ac:dyDescent="0.25">
      <c r="B63" s="102" t="s">
        <v>286</v>
      </c>
      <c r="C63" s="108" t="s">
        <v>506</v>
      </c>
      <c r="D63" s="95"/>
      <c r="E63" s="95"/>
      <c r="F63" s="102" t="s">
        <v>324</v>
      </c>
      <c r="G63" s="137" t="str">
        <f>C23</f>
        <v>Energimyndigheten (2025)</v>
      </c>
    </row>
    <row r="64" spans="2:7" ht="39.950000000000003" customHeight="1" x14ac:dyDescent="0.25">
      <c r="B64" s="102" t="s">
        <v>287</v>
      </c>
      <c r="C64" s="110" t="s">
        <v>507</v>
      </c>
      <c r="D64" s="95"/>
      <c r="E64" s="95"/>
    </row>
    <row r="65" spans="2:7" ht="39.950000000000003" customHeight="1" x14ac:dyDescent="0.25">
      <c r="B65" s="102" t="s">
        <v>294</v>
      </c>
      <c r="C65" s="110" t="s">
        <v>508</v>
      </c>
      <c r="D65" s="95"/>
      <c r="E65" s="95"/>
    </row>
    <row r="66" spans="2:7" ht="39.950000000000003" customHeight="1" x14ac:dyDescent="0.25">
      <c r="B66" s="102" t="s">
        <v>288</v>
      </c>
      <c r="C66" s="110" t="s">
        <v>509</v>
      </c>
      <c r="D66" s="95"/>
      <c r="E66" s="95"/>
    </row>
    <row r="67" spans="2:7" ht="39.950000000000003" customHeight="1" x14ac:dyDescent="0.25">
      <c r="B67" s="102" t="s">
        <v>289</v>
      </c>
      <c r="C67" s="110" t="s">
        <v>510</v>
      </c>
      <c r="D67" s="95"/>
      <c r="E67" s="95"/>
    </row>
    <row r="68" spans="2:7" ht="39.950000000000003" customHeight="1" x14ac:dyDescent="0.25">
      <c r="B68" s="102" t="s">
        <v>290</v>
      </c>
      <c r="C68" s="110" t="s">
        <v>66</v>
      </c>
      <c r="D68" s="95"/>
      <c r="E68" s="95"/>
    </row>
    <row r="69" spans="2:7" ht="39.950000000000003" customHeight="1" x14ac:dyDescent="0.25">
      <c r="B69" s="102" t="s">
        <v>291</v>
      </c>
      <c r="C69" s="110" t="s">
        <v>66</v>
      </c>
      <c r="D69" s="95"/>
      <c r="E69" s="95"/>
    </row>
    <row r="70" spans="2:7" ht="39.950000000000003" customHeight="1" x14ac:dyDescent="0.25">
      <c r="B70" s="71" t="s">
        <v>293</v>
      </c>
      <c r="C70" s="71" t="s">
        <v>511</v>
      </c>
      <c r="D70" s="95"/>
      <c r="E70" s="95"/>
    </row>
    <row r="71" spans="2:7" ht="39.950000000000003" customHeight="1" x14ac:dyDescent="0.25">
      <c r="B71" s="102" t="s">
        <v>505</v>
      </c>
      <c r="C71" s="71" t="s">
        <v>511</v>
      </c>
      <c r="D71" s="95"/>
      <c r="E71" s="95"/>
    </row>
    <row r="72" spans="2:7" ht="39.950000000000003" customHeight="1" x14ac:dyDescent="0.25">
      <c r="B72" s="102" t="s">
        <v>292</v>
      </c>
      <c r="C72" s="89" t="s">
        <v>423</v>
      </c>
      <c r="D72" s="95"/>
      <c r="E72" s="95"/>
    </row>
    <row r="73" spans="2:7" ht="39.950000000000003" customHeight="1" x14ac:dyDescent="0.25">
      <c r="D73" s="95"/>
      <c r="E73" s="95"/>
    </row>
    <row r="74" spans="2:7" ht="39.950000000000003" customHeight="1" x14ac:dyDescent="0.25">
      <c r="B74" s="298" t="s">
        <v>325</v>
      </c>
      <c r="C74" s="298"/>
      <c r="D74" s="298"/>
      <c r="E74" s="298"/>
      <c r="F74" s="298"/>
      <c r="G74" s="298"/>
    </row>
    <row r="75" spans="2:7" ht="39.950000000000003" customHeight="1" x14ac:dyDescent="0.25">
      <c r="B75" s="363"/>
      <c r="C75" s="363"/>
      <c r="D75" s="363"/>
      <c r="E75" s="363"/>
      <c r="F75" s="363"/>
      <c r="G75" s="363"/>
    </row>
    <row r="76" spans="2:7" ht="20.100000000000001" customHeight="1" x14ac:dyDescent="0.25">
      <c r="B76" s="90"/>
      <c r="C76" s="90"/>
      <c r="D76" s="95"/>
      <c r="E76" s="95"/>
      <c r="F76" s="95"/>
      <c r="G76" s="90"/>
    </row>
    <row r="77" spans="2:7" ht="39.950000000000003" customHeight="1" x14ac:dyDescent="0.25">
      <c r="B77" s="79" t="s">
        <v>297</v>
      </c>
      <c r="C77" s="77" t="s">
        <v>296</v>
      </c>
      <c r="D77" s="77" t="s">
        <v>295</v>
      </c>
      <c r="E77" s="359" t="s">
        <v>278</v>
      </c>
      <c r="F77" s="359"/>
      <c r="G77" s="90"/>
    </row>
    <row r="78" spans="2:7" ht="39.950000000000003" customHeight="1" x14ac:dyDescent="0.25">
      <c r="B78" s="58" t="s">
        <v>303</v>
      </c>
      <c r="C78" s="71">
        <v>2.7000000000000001E-3</v>
      </c>
      <c r="D78" s="102" t="s">
        <v>517</v>
      </c>
      <c r="E78" s="360" t="s">
        <v>81</v>
      </c>
      <c r="F78" s="360"/>
      <c r="G78" s="90"/>
    </row>
    <row r="79" spans="2:7" ht="39.950000000000003" customHeight="1" x14ac:dyDescent="0.25">
      <c r="B79" s="58" t="s">
        <v>514</v>
      </c>
      <c r="C79" s="190">
        <f>0.011*1.57</f>
        <v>1.7270000000000001E-2</v>
      </c>
      <c r="D79" s="102" t="s">
        <v>518</v>
      </c>
      <c r="E79" s="365" t="s">
        <v>515</v>
      </c>
      <c r="F79" s="366"/>
      <c r="G79" s="90"/>
    </row>
    <row r="80" spans="2:7" ht="39.950000000000003" customHeight="1" x14ac:dyDescent="0.25">
      <c r="B80" s="58" t="s">
        <v>513</v>
      </c>
      <c r="C80" s="71">
        <v>1.5699999999999999E-2</v>
      </c>
      <c r="D80" s="102" t="s">
        <v>519</v>
      </c>
      <c r="E80" s="360" t="s">
        <v>67</v>
      </c>
      <c r="F80" s="360"/>
      <c r="G80" s="90"/>
    </row>
    <row r="81" spans="2:7" ht="39.950000000000003" customHeight="1" x14ac:dyDescent="0.25">
      <c r="B81" s="58" t="s">
        <v>298</v>
      </c>
      <c r="C81" s="190">
        <f>0.04*1.57</f>
        <v>6.2800000000000009E-2</v>
      </c>
      <c r="D81" s="102" t="s">
        <v>519</v>
      </c>
      <c r="E81" s="365" t="s">
        <v>68</v>
      </c>
      <c r="F81" s="366"/>
      <c r="G81" s="90"/>
    </row>
    <row r="82" spans="2:7" ht="39.950000000000003" customHeight="1" x14ac:dyDescent="0.25">
      <c r="B82" s="58" t="s">
        <v>299</v>
      </c>
      <c r="C82" s="190">
        <f>0.017*1.57</f>
        <v>2.6690000000000002E-2</v>
      </c>
      <c r="D82" s="102" t="s">
        <v>519</v>
      </c>
      <c r="E82" s="365" t="s">
        <v>68</v>
      </c>
      <c r="F82" s="366"/>
      <c r="G82" s="90"/>
    </row>
    <row r="83" spans="2:7" ht="39.950000000000003" customHeight="1" x14ac:dyDescent="0.25">
      <c r="B83" s="58" t="s">
        <v>300</v>
      </c>
      <c r="C83" s="56">
        <v>1.1000000000000001</v>
      </c>
      <c r="D83" s="58" t="s">
        <v>69</v>
      </c>
      <c r="E83" s="361" t="s">
        <v>70</v>
      </c>
      <c r="F83" s="362"/>
      <c r="G83" s="90"/>
    </row>
    <row r="84" spans="2:7" ht="39.950000000000003" customHeight="1" x14ac:dyDescent="0.25">
      <c r="B84" s="58" t="s">
        <v>512</v>
      </c>
      <c r="C84" s="71">
        <v>2.2999999999999998</v>
      </c>
      <c r="D84" s="102" t="s">
        <v>53</v>
      </c>
      <c r="E84" s="361" t="s">
        <v>430</v>
      </c>
      <c r="F84" s="362"/>
      <c r="G84" s="90"/>
    </row>
    <row r="85" spans="2:7" ht="39.950000000000003" customHeight="1" x14ac:dyDescent="0.25">
      <c r="B85" s="58" t="s">
        <v>301</v>
      </c>
      <c r="C85" s="71">
        <v>27</v>
      </c>
      <c r="D85" s="102" t="s">
        <v>520</v>
      </c>
      <c r="E85" s="365" t="s">
        <v>71</v>
      </c>
      <c r="F85" s="366"/>
      <c r="G85" s="90"/>
    </row>
    <row r="86" spans="2:7" ht="39.950000000000003" customHeight="1" x14ac:dyDescent="0.25">
      <c r="B86" s="102" t="s">
        <v>265</v>
      </c>
      <c r="C86" s="71">
        <v>6.8000000000000005E-2</v>
      </c>
      <c r="D86" s="102" t="s">
        <v>521</v>
      </c>
      <c r="E86" s="361" t="s">
        <v>62</v>
      </c>
      <c r="F86" s="362"/>
      <c r="G86" s="90"/>
    </row>
    <row r="87" spans="2:7" ht="39.950000000000003" customHeight="1" x14ac:dyDescent="0.25">
      <c r="B87" s="102" t="s">
        <v>266</v>
      </c>
      <c r="C87" s="71">
        <v>8.0000000000000002E-3</v>
      </c>
      <c r="D87" s="102" t="s">
        <v>522</v>
      </c>
      <c r="E87" s="361" t="s">
        <v>62</v>
      </c>
      <c r="F87" s="362"/>
      <c r="G87" s="90"/>
    </row>
    <row r="88" spans="2:7" ht="39.950000000000003" customHeight="1" x14ac:dyDescent="0.25">
      <c r="B88" s="102" t="s">
        <v>302</v>
      </c>
      <c r="C88" s="88">
        <v>2800</v>
      </c>
      <c r="D88" s="102" t="s">
        <v>428</v>
      </c>
      <c r="E88" s="361" t="s">
        <v>79</v>
      </c>
      <c r="F88" s="362"/>
      <c r="G88" s="90"/>
    </row>
    <row r="89" spans="2:7" ht="39.950000000000003" customHeight="1" x14ac:dyDescent="0.25">
      <c r="B89" s="102" t="s">
        <v>516</v>
      </c>
      <c r="C89" s="88">
        <v>10000</v>
      </c>
      <c r="D89" s="102" t="s">
        <v>428</v>
      </c>
      <c r="E89" s="367" t="s">
        <v>80</v>
      </c>
      <c r="F89" s="368"/>
      <c r="G89" s="90"/>
    </row>
    <row r="90" spans="2:7" ht="39.950000000000003" customHeight="1" x14ac:dyDescent="0.25">
      <c r="B90" s="102" t="s">
        <v>304</v>
      </c>
      <c r="C90" s="71">
        <v>0.8</v>
      </c>
      <c r="D90" s="102" t="s">
        <v>78</v>
      </c>
      <c r="E90" s="367" t="s">
        <v>79</v>
      </c>
      <c r="F90" s="368"/>
      <c r="G90" s="90"/>
    </row>
    <row r="91" spans="2:7" ht="39.950000000000003" customHeight="1" x14ac:dyDescent="0.25">
      <c r="G91" s="90"/>
    </row>
    <row r="92" spans="2:7" ht="39.950000000000003" customHeight="1" x14ac:dyDescent="0.25">
      <c r="B92" s="90"/>
      <c r="C92" s="63"/>
      <c r="D92" s="38"/>
      <c r="E92" s="38"/>
      <c r="F92" s="62"/>
      <c r="G92" s="90"/>
    </row>
    <row r="93" spans="2:7" ht="39.950000000000003" customHeight="1" x14ac:dyDescent="0.25">
      <c r="B93" s="296" t="s">
        <v>305</v>
      </c>
      <c r="C93" s="296"/>
      <c r="D93" s="296"/>
      <c r="E93" s="296"/>
      <c r="F93" s="296"/>
      <c r="G93" s="296"/>
    </row>
    <row r="94" spans="2:7" ht="39.950000000000003" customHeight="1" x14ac:dyDescent="0.25">
      <c r="B94" s="90"/>
      <c r="F94" s="62"/>
      <c r="G94" s="90"/>
    </row>
    <row r="95" spans="2:7" ht="39.950000000000003" customHeight="1" x14ac:dyDescent="0.25">
      <c r="B95" s="71" t="s">
        <v>306</v>
      </c>
      <c r="C95" s="71">
        <v>1</v>
      </c>
      <c r="D95" s="71" t="s">
        <v>308</v>
      </c>
      <c r="F95" s="62"/>
      <c r="G95" s="90"/>
    </row>
    <row r="96" spans="2:7" ht="39.950000000000003" customHeight="1" x14ac:dyDescent="0.25">
      <c r="B96" s="71" t="s">
        <v>523</v>
      </c>
      <c r="C96" s="71">
        <v>27</v>
      </c>
      <c r="D96" s="71" t="s">
        <v>308</v>
      </c>
      <c r="F96" s="62"/>
      <c r="G96" s="90"/>
    </row>
    <row r="97" spans="2:7" ht="39.950000000000003" customHeight="1" x14ac:dyDescent="0.25">
      <c r="B97" s="71" t="s">
        <v>307</v>
      </c>
      <c r="C97" s="71">
        <v>273</v>
      </c>
      <c r="D97" s="71" t="s">
        <v>308</v>
      </c>
      <c r="F97" s="62"/>
      <c r="G97" s="90"/>
    </row>
    <row r="98" spans="2:7" ht="39.950000000000003" customHeight="1" x14ac:dyDescent="0.25">
      <c r="F98" s="95"/>
      <c r="G98" s="28"/>
    </row>
    <row r="99" spans="2:7" ht="39.950000000000003" customHeight="1" x14ac:dyDescent="0.25"/>
    <row r="100" spans="2:7" ht="39.950000000000003" customHeight="1" x14ac:dyDescent="0.25"/>
    <row r="101" spans="2:7" ht="39.950000000000003" customHeight="1" x14ac:dyDescent="0.25"/>
  </sheetData>
  <sheetProtection sheet="1" objects="1" scenarios="1"/>
  <mergeCells count="19">
    <mergeCell ref="E88:F88"/>
    <mergeCell ref="B75:G75"/>
    <mergeCell ref="B93:G93"/>
    <mergeCell ref="B4:G4"/>
    <mergeCell ref="E81:F81"/>
    <mergeCell ref="E82:F82"/>
    <mergeCell ref="E83:F83"/>
    <mergeCell ref="E84:F84"/>
    <mergeCell ref="E85:F85"/>
    <mergeCell ref="E86:F86"/>
    <mergeCell ref="E87:F87"/>
    <mergeCell ref="E89:F89"/>
    <mergeCell ref="E90:F90"/>
    <mergeCell ref="E79:F79"/>
    <mergeCell ref="B3:G3"/>
    <mergeCell ref="B74:G74"/>
    <mergeCell ref="E77:F77"/>
    <mergeCell ref="E78:F78"/>
    <mergeCell ref="E80:F80"/>
  </mergeCells>
  <phoneticPr fontId="35"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165C-D19E-4429-A76A-2AAA3D9936A3}">
  <dimension ref="A1:H53"/>
  <sheetViews>
    <sheetView showGridLines="0" zoomScale="90" zoomScaleNormal="90" workbookViewId="0">
      <selection activeCell="C3" sqref="C3:C4"/>
    </sheetView>
  </sheetViews>
  <sheetFormatPr defaultColWidth="0" defaultRowHeight="15" customHeight="1" zeroHeight="1" x14ac:dyDescent="0.25"/>
  <cols>
    <col min="1" max="2" width="9.140625" customWidth="1"/>
    <col min="3" max="3" width="105" customWidth="1"/>
    <col min="4" max="5" width="9.140625" customWidth="1"/>
    <col min="6" max="15" width="9.140625" hidden="1" customWidth="1"/>
    <col min="16" max="16384" width="9.140625" hidden="1"/>
  </cols>
  <sheetData>
    <row r="1" spans="3:8" x14ac:dyDescent="0.25"/>
    <row r="2" spans="3:8" x14ac:dyDescent="0.25">
      <c r="H2" t="s">
        <v>531</v>
      </c>
    </row>
    <row r="3" spans="3:8" x14ac:dyDescent="0.25">
      <c r="C3" s="357" t="s">
        <v>535</v>
      </c>
    </row>
    <row r="4" spans="3:8" x14ac:dyDescent="0.25">
      <c r="C4" s="357"/>
    </row>
    <row r="5" spans="3:8" x14ac:dyDescent="0.25"/>
    <row r="6" spans="3:8" x14ac:dyDescent="0.25"/>
    <row r="7" spans="3:8" x14ac:dyDescent="0.25"/>
    <row r="8" spans="3:8" ht="27.95" customHeight="1" x14ac:dyDescent="0.25">
      <c r="C8" s="251" t="s">
        <v>532</v>
      </c>
    </row>
    <row r="9" spans="3:8" x14ac:dyDescent="0.25"/>
    <row r="10" spans="3:8" x14ac:dyDescent="0.25">
      <c r="C10" t="s">
        <v>544</v>
      </c>
    </row>
    <row r="11" spans="3:8" x14ac:dyDescent="0.25">
      <c r="C11" t="s">
        <v>545</v>
      </c>
    </row>
    <row r="12" spans="3:8" x14ac:dyDescent="0.25">
      <c r="C12" t="s">
        <v>546</v>
      </c>
    </row>
    <row r="13" spans="3:8" x14ac:dyDescent="0.25">
      <c r="C13" s="252" t="s">
        <v>537</v>
      </c>
    </row>
    <row r="14" spans="3:8" x14ac:dyDescent="0.25">
      <c r="C14" t="s">
        <v>536</v>
      </c>
    </row>
    <row r="15" spans="3:8" x14ac:dyDescent="0.25">
      <c r="C15" t="s">
        <v>328</v>
      </c>
    </row>
    <row r="16" spans="3:8" x14ac:dyDescent="0.25">
      <c r="C16" t="s">
        <v>538</v>
      </c>
    </row>
    <row r="17" spans="3:3" x14ac:dyDescent="0.25">
      <c r="C17" t="s">
        <v>539</v>
      </c>
    </row>
    <row r="18" spans="3:3" x14ac:dyDescent="0.25">
      <c r="C18" t="s">
        <v>540</v>
      </c>
    </row>
    <row r="19" spans="3:3" x14ac:dyDescent="0.25">
      <c r="C19" t="s">
        <v>541</v>
      </c>
    </row>
    <row r="20" spans="3:3" x14ac:dyDescent="0.25">
      <c r="C20" t="s">
        <v>542</v>
      </c>
    </row>
    <row r="21" spans="3:3" x14ac:dyDescent="0.25">
      <c r="C21" t="s">
        <v>543</v>
      </c>
    </row>
    <row r="22" spans="3:3" x14ac:dyDescent="0.25"/>
    <row r="23" spans="3:3" ht="27.95" customHeight="1" x14ac:dyDescent="0.25">
      <c r="C23" s="251" t="s">
        <v>533</v>
      </c>
    </row>
    <row r="24" spans="3:3" x14ac:dyDescent="0.25"/>
    <row r="25" spans="3:3" x14ac:dyDescent="0.25">
      <c r="C25" s="105" t="s">
        <v>547</v>
      </c>
    </row>
    <row r="26" spans="3:3" x14ac:dyDescent="0.25">
      <c r="C26" s="252" t="s">
        <v>537</v>
      </c>
    </row>
    <row r="27" spans="3:3" x14ac:dyDescent="0.25">
      <c r="C27" t="s">
        <v>548</v>
      </c>
    </row>
    <row r="28" spans="3:3" x14ac:dyDescent="0.25">
      <c r="C28" t="s">
        <v>550</v>
      </c>
    </row>
    <row r="29" spans="3:3" x14ac:dyDescent="0.25">
      <c r="C29" t="s">
        <v>328</v>
      </c>
    </row>
    <row r="30" spans="3:3" x14ac:dyDescent="0.25">
      <c r="C30" t="s">
        <v>538</v>
      </c>
    </row>
    <row r="31" spans="3:3" x14ac:dyDescent="0.25">
      <c r="C31" t="s">
        <v>549</v>
      </c>
    </row>
    <row r="32" spans="3:3" x14ac:dyDescent="0.25"/>
    <row r="33" spans="3:3" ht="27.95" customHeight="1" x14ac:dyDescent="0.25">
      <c r="C33" s="251" t="s">
        <v>534</v>
      </c>
    </row>
    <row r="34" spans="3:3" x14ac:dyDescent="0.25"/>
    <row r="35" spans="3:3" x14ac:dyDescent="0.25">
      <c r="C35" t="s">
        <v>556</v>
      </c>
    </row>
    <row r="36" spans="3:3" x14ac:dyDescent="0.25">
      <c r="C36" t="s">
        <v>555</v>
      </c>
    </row>
    <row r="37" spans="3:3" x14ac:dyDescent="0.25">
      <c r="C37" t="s">
        <v>554</v>
      </c>
    </row>
    <row r="38" spans="3:3" x14ac:dyDescent="0.25">
      <c r="C38" t="s">
        <v>553</v>
      </c>
    </row>
    <row r="39" spans="3:3" ht="30" x14ac:dyDescent="0.25">
      <c r="C39" s="253" t="s">
        <v>557</v>
      </c>
    </row>
    <row r="40" spans="3:3" x14ac:dyDescent="0.25">
      <c r="C40" s="254" t="s">
        <v>558</v>
      </c>
    </row>
    <row r="41" spans="3:3" x14ac:dyDescent="0.25">
      <c r="C41" s="254" t="s">
        <v>559</v>
      </c>
    </row>
    <row r="42" spans="3:3" x14ac:dyDescent="0.25">
      <c r="C42" s="252" t="s">
        <v>537</v>
      </c>
    </row>
    <row r="43" spans="3:3" x14ac:dyDescent="0.25">
      <c r="C43" t="s">
        <v>328</v>
      </c>
    </row>
    <row r="44" spans="3:3" x14ac:dyDescent="0.25">
      <c r="C44" t="s">
        <v>538</v>
      </c>
    </row>
    <row r="45" spans="3:3" x14ac:dyDescent="0.25">
      <c r="C45" t="s">
        <v>551</v>
      </c>
    </row>
    <row r="46" spans="3:3" x14ac:dyDescent="0.25">
      <c r="C46" t="s">
        <v>541</v>
      </c>
    </row>
    <row r="47" spans="3:3" x14ac:dyDescent="0.25">
      <c r="C47" t="s">
        <v>552</v>
      </c>
    </row>
    <row r="48" spans="3:3" x14ac:dyDescent="0.25"/>
    <row r="49" x14ac:dyDescent="0.25"/>
    <row r="50" x14ac:dyDescent="0.25"/>
    <row r="51" hidden="1" x14ac:dyDescent="0.25"/>
    <row r="52" hidden="1" x14ac:dyDescent="0.25"/>
    <row r="53" hidden="1" x14ac:dyDescent="0.25"/>
  </sheetData>
  <sheetProtection sheet="1" objects="1" scenarios="1"/>
  <mergeCells count="1">
    <mergeCell ref="C3: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27"/>
  <sheetViews>
    <sheetView showGridLines="0" topLeftCell="A2" zoomScale="80" zoomScaleNormal="80" workbookViewId="0">
      <selection activeCell="E8" sqref="E8"/>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69" t="s">
        <v>326</v>
      </c>
      <c r="C3" s="369"/>
      <c r="D3" s="369"/>
      <c r="E3" s="369"/>
      <c r="F3" s="369"/>
      <c r="G3" s="369"/>
      <c r="H3" s="369"/>
      <c r="I3" s="369"/>
    </row>
    <row r="4" spans="1:9" ht="33" customHeight="1" x14ac:dyDescent="0.25">
      <c r="B4" s="164"/>
      <c r="C4" s="258" t="s">
        <v>327</v>
      </c>
      <c r="D4" s="258"/>
      <c r="E4" s="258"/>
      <c r="F4" s="258"/>
      <c r="G4" s="258"/>
      <c r="H4" s="258"/>
      <c r="I4" s="164"/>
    </row>
    <row r="5" spans="1:9" ht="33" customHeight="1" x14ac:dyDescent="0.25">
      <c r="B5" s="191"/>
      <c r="C5" s="192"/>
      <c r="D5" s="193"/>
      <c r="E5" s="192"/>
      <c r="F5" s="192"/>
      <c r="G5" s="192"/>
      <c r="H5" s="192"/>
      <c r="I5" s="194"/>
    </row>
    <row r="6" spans="1:9" ht="33" customHeight="1" x14ac:dyDescent="0.25">
      <c r="B6" s="195"/>
      <c r="C6" s="196"/>
      <c r="D6" s="197"/>
      <c r="E6" s="196"/>
      <c r="F6" s="196"/>
      <c r="G6" s="196"/>
      <c r="H6" s="196"/>
      <c r="I6" s="198"/>
    </row>
    <row r="7" spans="1:9" ht="33" customHeight="1" x14ac:dyDescent="0.25">
      <c r="B7" s="195"/>
      <c r="C7" s="196"/>
      <c r="D7" s="197"/>
      <c r="E7" s="196"/>
      <c r="F7" s="196"/>
      <c r="G7" s="196"/>
      <c r="H7" s="196"/>
      <c r="I7" s="198"/>
    </row>
    <row r="8" spans="1:9" ht="33" customHeight="1" x14ac:dyDescent="0.25">
      <c r="B8" s="199"/>
      <c r="C8" s="196"/>
      <c r="D8" s="196"/>
      <c r="E8" s="196"/>
      <c r="F8" s="196"/>
      <c r="G8" s="196"/>
      <c r="H8" s="196"/>
      <c r="I8" s="198"/>
    </row>
    <row r="9" spans="1:9" ht="33" customHeight="1" x14ac:dyDescent="0.25">
      <c r="B9" s="200"/>
      <c r="C9" s="201"/>
      <c r="D9" s="201"/>
      <c r="E9" s="201"/>
      <c r="F9" s="201"/>
      <c r="G9" s="201"/>
      <c r="H9" s="201"/>
      <c r="I9" s="202"/>
    </row>
    <row r="10" spans="1:9" ht="33" customHeight="1" x14ac:dyDescent="0.25">
      <c r="B10" s="203"/>
      <c r="C10" s="204"/>
      <c r="D10" s="204"/>
      <c r="E10" s="205"/>
      <c r="F10" s="204"/>
      <c r="G10" s="197"/>
      <c r="H10" s="204"/>
      <c r="I10" s="206"/>
    </row>
    <row r="11" spans="1:9" ht="33" customHeight="1" x14ac:dyDescent="0.25">
      <c r="A11" s="23"/>
      <c r="B11" s="207"/>
      <c r="C11" s="197"/>
      <c r="D11" s="197"/>
      <c r="E11" s="204"/>
      <c r="F11" s="204"/>
      <c r="G11" s="208"/>
      <c r="H11" s="204"/>
      <c r="I11" s="209"/>
    </row>
    <row r="12" spans="1:9" ht="30" customHeight="1" x14ac:dyDescent="0.25">
      <c r="B12" s="207"/>
      <c r="C12" s="197"/>
      <c r="D12" s="197"/>
      <c r="E12" s="204"/>
      <c r="F12" s="204"/>
      <c r="G12" s="208"/>
      <c r="H12" s="204"/>
      <c r="I12" s="209"/>
    </row>
    <row r="13" spans="1:9" ht="30" customHeight="1" x14ac:dyDescent="0.25">
      <c r="B13" s="207"/>
      <c r="C13" s="197"/>
      <c r="D13" s="197"/>
      <c r="E13" s="204"/>
      <c r="F13" s="204"/>
      <c r="G13" s="208"/>
      <c r="H13" s="210"/>
      <c r="I13" s="209"/>
    </row>
    <row r="14" spans="1:9" ht="30" customHeight="1" x14ac:dyDescent="0.25">
      <c r="B14" s="207"/>
      <c r="C14" s="197"/>
      <c r="D14" s="197"/>
      <c r="E14" s="211"/>
      <c r="F14" s="204"/>
      <c r="G14" s="208"/>
      <c r="H14" s="210"/>
      <c r="I14" s="209"/>
    </row>
    <row r="15" spans="1:9" ht="30" customHeight="1" x14ac:dyDescent="0.25">
      <c r="B15" s="207"/>
      <c r="C15" s="197"/>
      <c r="D15" s="197"/>
      <c r="E15" s="204"/>
      <c r="F15" s="204"/>
      <c r="G15" s="197"/>
      <c r="H15" s="208"/>
      <c r="I15" s="212"/>
    </row>
    <row r="16" spans="1:9" ht="30" customHeight="1" x14ac:dyDescent="0.25">
      <c r="B16" s="213"/>
      <c r="C16" s="197"/>
      <c r="D16" s="197"/>
      <c r="E16" s="204"/>
      <c r="F16" s="208"/>
      <c r="G16" s="208"/>
      <c r="H16" s="208"/>
      <c r="I16" s="209"/>
    </row>
    <row r="17" spans="2:9" ht="30" customHeight="1" x14ac:dyDescent="0.25">
      <c r="B17" s="214"/>
      <c r="C17" s="215"/>
      <c r="D17" s="215"/>
      <c r="E17" s="211"/>
      <c r="F17" s="204"/>
      <c r="G17" s="197"/>
      <c r="H17" s="204"/>
      <c r="I17" s="206"/>
    </row>
    <row r="18" spans="2:9" ht="30" customHeight="1" x14ac:dyDescent="0.25">
      <c r="B18" s="207"/>
      <c r="C18" s="197"/>
      <c r="D18" s="197"/>
      <c r="E18" s="211"/>
      <c r="F18" s="216"/>
      <c r="G18" s="197"/>
      <c r="H18" s="204"/>
      <c r="I18" s="206"/>
    </row>
    <row r="19" spans="2:9" ht="30" customHeight="1" x14ac:dyDescent="0.25">
      <c r="B19" s="207"/>
      <c r="C19" s="197"/>
      <c r="D19" s="197"/>
      <c r="E19" s="205"/>
      <c r="F19" s="216"/>
      <c r="G19" s="197"/>
      <c r="H19" s="204"/>
      <c r="I19" s="206"/>
    </row>
    <row r="20" spans="2:9" ht="30" customHeight="1" x14ac:dyDescent="0.25">
      <c r="B20" s="207"/>
      <c r="C20" s="197"/>
      <c r="D20" s="197"/>
      <c r="E20" s="204"/>
      <c r="F20" s="210"/>
      <c r="G20" s="197"/>
      <c r="H20" s="210"/>
      <c r="I20" s="206"/>
    </row>
    <row r="21" spans="2:9" ht="30" customHeight="1" x14ac:dyDescent="0.25">
      <c r="B21" s="217"/>
      <c r="C21" s="218"/>
      <c r="D21" s="218"/>
      <c r="E21" s="219"/>
      <c r="F21" s="220"/>
      <c r="G21" s="218"/>
      <c r="H21" s="220"/>
      <c r="I21" s="221"/>
    </row>
    <row r="22" spans="2:9" ht="30" customHeight="1" x14ac:dyDescent="0.25">
      <c r="E22" s="25"/>
      <c r="F22" s="64"/>
      <c r="G22" s="70"/>
      <c r="H22" s="64"/>
      <c r="I22" s="28"/>
    </row>
    <row r="23" spans="2:9" ht="15" hidden="1" x14ac:dyDescent="0.25"/>
    <row r="24" spans="2:9" ht="15" hidden="1" x14ac:dyDescent="0.25"/>
    <row r="25" spans="2:9" ht="15" hidden="1" x14ac:dyDescent="0.25"/>
    <row r="26" spans="2:9" ht="15" hidden="1" x14ac:dyDescent="0.25"/>
    <row r="27" spans="2:9" ht="15" hidden="1" x14ac:dyDescent="0.25"/>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5" sqref="D5"/>
    </sheetView>
  </sheetViews>
  <sheetFormatPr defaultRowHeight="15" x14ac:dyDescent="0.25"/>
  <sheetData>
    <row r="3" spans="4:4" x14ac:dyDescent="0.25">
      <c r="D3" t="s">
        <v>19</v>
      </c>
    </row>
    <row r="4" spans="4:4" x14ac:dyDescent="0.25">
      <c r="D4" t="s">
        <v>429</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1" ma:contentTypeDescription="Skapa ett nytt dokument." ma:contentTypeScope="" ma:versionID="95960d2b1a3fcd34e77c3ddf911428aa">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98b96ee63f40514b31529aab2e2b403e"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89FDA-F2E1-4DE3-9421-2317C73D3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27AA4C-7AF2-4BE3-9FD5-243248D927CB}">
  <ds:schemaRefs>
    <ds:schemaRef ds:uri="http://schemas.microsoft.com/office/2006/metadata/properties"/>
    <ds:schemaRef ds:uri="http://schemas.microsoft.com/office/infopath/2007/PartnerControls"/>
    <ds:schemaRef ds:uri="2a753b0a-6bc1-4ba2-8d6d-346b2a3a5f0d"/>
    <ds:schemaRef ds:uri="0fb1a41a-a547-4c82-a3d4-eec2d21982db"/>
    <ds:schemaRef ds:uri="a72bc800-d43d-4024-8680-6d69819f83c0"/>
  </ds:schemaRefs>
</ds:datastoreItem>
</file>

<file path=customXml/itemProps3.xml><?xml version="1.0" encoding="utf-8"?>
<ds:datastoreItem xmlns:ds="http://schemas.openxmlformats.org/officeDocument/2006/customXml" ds:itemID="{2B9CCDE8-B248-46D1-B39F-F14C67CEA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Lägg in data här alt 1.</vt:lpstr>
      <vt:lpstr>Lägg in data här alt 2.</vt:lpstr>
      <vt:lpstr>Enter data here</vt:lpstr>
      <vt:lpstr>Enter data for chemicals here</vt:lpstr>
      <vt:lpstr>Benefits from by-products</vt:lpstr>
      <vt:lpstr>Results presentation in table</vt:lpstr>
      <vt:lpstr>Results presentation in graph</vt:lpstr>
      <vt:lpstr>Graf - Nyttor</vt:lpstr>
      <vt:lpstr>Result presentation in benefits</vt:lpstr>
      <vt:lpstr>References</vt:lpstr>
      <vt:lpstr>Version history</vt:lpstr>
      <vt:lpstr>Notes</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2025-04-07T11:52:56Z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