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ate1904="1" showInkAnnotation="0" codeName="ThisWorkbook" autoCompressPictures="0"/>
  <mc:AlternateContent xmlns:mc="http://schemas.openxmlformats.org/markup-compatibility/2006">
    <mc:Choice Requires="x15">
      <x15ac:absPath xmlns:x15ac="http://schemas.microsoft.com/office/spreadsheetml/2010/11/ac" url="\\adm.bgo\BKRedir\zg912\Documents\MBA\"/>
    </mc:Choice>
  </mc:AlternateContent>
  <bookViews>
    <workbookView xWindow="0" yWindow="0" windowWidth="28800" windowHeight="14010" tabRatio="844" activeTab="3"/>
  </bookViews>
  <sheets>
    <sheet name="Introduction" sheetId="11" r:id="rId1"/>
    <sheet name="Start" sheetId="12" r:id="rId2"/>
    <sheet name="Lakes and catchment areas" sheetId="2" r:id="rId3"/>
    <sheet name="Groundwater" sheetId="4" r:id="rId4"/>
    <sheet name="Infiltration" sheetId="20" r:id="rId5"/>
    <sheet name="WT beyond disinf. (process 1)" sheetId="9" r:id="rId6"/>
    <sheet name="WT beyond disinf. (process 2)" sheetId="19" r:id="rId7"/>
    <sheet name="UV" sheetId="6" r:id="rId8"/>
    <sheet name="Chlorine" sheetId="14" r:id="rId9"/>
    <sheet name="Chlorine dioxide" sheetId="17" r:id="rId10"/>
    <sheet name="Ozone" sheetId="18" r:id="rId11"/>
    <sheet name="Summary" sheetId="10" r:id="rId12"/>
    <sheet name="tab 3.3" sheetId="1" state="hidden" r:id="rId13"/>
    <sheet name="key" sheetId="13" state="hidden" r:id="rId14"/>
    <sheet name="key 2" sheetId="15" state="hidden" r:id="rId15"/>
  </sheets>
  <definedNames>
    <definedName name="_xlnm.Print_Area" localSheetId="3">Groundwater!$B$2:$K$24</definedName>
    <definedName name="_xlnm.Print_Area" localSheetId="2">'Lakes and catchment areas'!$B$2:$K$22</definedName>
    <definedName name="_xlnm.Print_Area" localSheetId="1">Start!$A$22:$P$69</definedName>
    <definedName name="_xlnm.Print_Area" localSheetId="11">Summary!$B$4:$I$19</definedName>
  </definedNames>
  <calcPr calcId="171027"/>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21" i="4" l="1"/>
  <c r="K22" i="4"/>
  <c r="K23" i="4"/>
  <c r="K24" i="4"/>
  <c r="K26" i="4" s="1"/>
  <c r="K14" i="4"/>
  <c r="K12" i="4"/>
  <c r="K7" i="4"/>
  <c r="K10" i="4"/>
  <c r="K11" i="4"/>
  <c r="K16" i="4"/>
  <c r="J21" i="4"/>
  <c r="J22" i="4"/>
  <c r="J23" i="4"/>
  <c r="J24" i="4" s="1"/>
  <c r="J14" i="4"/>
  <c r="J12" i="4"/>
  <c r="J7" i="4"/>
  <c r="J10" i="4"/>
  <c r="J11" i="4"/>
  <c r="J16" i="4"/>
  <c r="K13" i="4"/>
  <c r="J13" i="4"/>
  <c r="I21" i="4"/>
  <c r="I22" i="4"/>
  <c r="I23" i="4"/>
  <c r="I24" i="4" s="1"/>
  <c r="I26" i="4" s="1"/>
  <c r="E11" i="10" s="1"/>
  <c r="I14" i="4"/>
  <c r="I13" i="4"/>
  <c r="I12" i="4"/>
  <c r="I11" i="4"/>
  <c r="I7" i="4"/>
  <c r="I10" i="4"/>
  <c r="I16" i="4"/>
  <c r="K19" i="2"/>
  <c r="K20" i="2"/>
  <c r="K22" i="2" s="1"/>
  <c r="K24" i="2" s="1"/>
  <c r="K21" i="2"/>
  <c r="K12" i="2"/>
  <c r="K14" i="2"/>
  <c r="J19" i="2"/>
  <c r="J20" i="2"/>
  <c r="J22" i="2" s="1"/>
  <c r="J21" i="2"/>
  <c r="J12" i="2"/>
  <c r="J14" i="2"/>
  <c r="I19" i="2"/>
  <c r="I20" i="2"/>
  <c r="I22" i="2" s="1"/>
  <c r="I24" i="2" s="1"/>
  <c r="E10" i="10" s="1"/>
  <c r="I21" i="2"/>
  <c r="I12" i="2"/>
  <c r="I14" i="2"/>
  <c r="F62" i="14"/>
  <c r="F63" i="14"/>
  <c r="H81" i="14"/>
  <c r="E62" i="14"/>
  <c r="E63" i="14"/>
  <c r="G81" i="14"/>
  <c r="H78" i="17"/>
  <c r="G78" i="17"/>
  <c r="K57" i="6"/>
  <c r="E60" i="18"/>
  <c r="E61" i="18"/>
  <c r="E62" i="18"/>
  <c r="C4" i="10"/>
  <c r="F51" i="18"/>
  <c r="F52" i="18"/>
  <c r="F50" i="18"/>
  <c r="F41" i="17"/>
  <c r="F40" i="17"/>
  <c r="F39" i="17"/>
  <c r="D80" i="18"/>
  <c r="D87" i="18"/>
  <c r="F42" i="17"/>
  <c r="D77" i="17"/>
  <c r="D70" i="17"/>
  <c r="F81" i="17"/>
  <c r="F80" i="17"/>
  <c r="F79" i="17"/>
  <c r="F74" i="17"/>
  <c r="F73" i="17"/>
  <c r="F72" i="17"/>
  <c r="F67" i="17"/>
  <c r="F66" i="17"/>
  <c r="F91" i="18"/>
  <c r="F90" i="18"/>
  <c r="F89" i="18"/>
  <c r="F84" i="18"/>
  <c r="F83" i="18"/>
  <c r="F82" i="18"/>
  <c r="F77" i="18"/>
  <c r="F76" i="18"/>
  <c r="F82" i="14"/>
  <c r="F44" i="17"/>
  <c r="F43" i="17"/>
  <c r="D80" i="14"/>
  <c r="D73" i="14"/>
  <c r="F44" i="14"/>
  <c r="F43" i="14"/>
  <c r="F42" i="14"/>
  <c r="G22" i="6"/>
  <c r="G50" i="6"/>
  <c r="G49" i="6"/>
  <c r="G48" i="6"/>
  <c r="G47" i="6"/>
  <c r="G46" i="6"/>
  <c r="G45" i="6"/>
  <c r="G44" i="6"/>
  <c r="G39" i="6"/>
  <c r="G38" i="6"/>
  <c r="G37" i="6"/>
  <c r="G36" i="6"/>
  <c r="G35" i="6"/>
  <c r="G30" i="6"/>
  <c r="G29" i="6"/>
  <c r="G28" i="6"/>
  <c r="G23" i="6"/>
  <c r="K31" i="19"/>
  <c r="J31" i="19"/>
  <c r="I31" i="19"/>
  <c r="K30" i="19"/>
  <c r="J30" i="19"/>
  <c r="I30" i="19"/>
  <c r="K29" i="19"/>
  <c r="J29" i="19"/>
  <c r="I29" i="19"/>
  <c r="K28" i="19"/>
  <c r="J28" i="19"/>
  <c r="I28" i="19"/>
  <c r="K27" i="19"/>
  <c r="J27" i="19"/>
  <c r="I27" i="19"/>
  <c r="K25" i="19"/>
  <c r="J25" i="19"/>
  <c r="I25" i="19"/>
  <c r="K24" i="19"/>
  <c r="J24" i="19"/>
  <c r="I24" i="19"/>
  <c r="K23" i="19"/>
  <c r="J23" i="19"/>
  <c r="I23" i="19"/>
  <c r="K22" i="19"/>
  <c r="J22" i="19"/>
  <c r="I22" i="19"/>
  <c r="K18" i="19"/>
  <c r="J18" i="19"/>
  <c r="I18" i="19"/>
  <c r="K17" i="19"/>
  <c r="J17" i="19"/>
  <c r="I17" i="19"/>
  <c r="K16" i="19"/>
  <c r="J16" i="19"/>
  <c r="I16" i="19"/>
  <c r="K15" i="19"/>
  <c r="J15" i="19"/>
  <c r="I15" i="19"/>
  <c r="K14" i="19"/>
  <c r="J14" i="19"/>
  <c r="I14" i="19"/>
  <c r="K13" i="19"/>
  <c r="J13" i="19"/>
  <c r="I13" i="19"/>
  <c r="K12" i="19"/>
  <c r="J12" i="19"/>
  <c r="I12" i="19"/>
  <c r="K11" i="19"/>
  <c r="J11" i="19"/>
  <c r="I11" i="19"/>
  <c r="K10" i="19"/>
  <c r="J10" i="19"/>
  <c r="I10" i="19"/>
  <c r="K9" i="19"/>
  <c r="J9" i="19"/>
  <c r="I9" i="19"/>
  <c r="K8" i="19"/>
  <c r="J8" i="19"/>
  <c r="I8" i="19"/>
  <c r="J29" i="9"/>
  <c r="I29" i="9"/>
  <c r="K28" i="9"/>
  <c r="J28" i="9"/>
  <c r="I28" i="9"/>
  <c r="K27" i="9"/>
  <c r="J27" i="9"/>
  <c r="I27" i="9"/>
  <c r="K26" i="9"/>
  <c r="J26" i="9"/>
  <c r="I26" i="9"/>
  <c r="K25" i="9"/>
  <c r="J25" i="9"/>
  <c r="I25" i="9"/>
  <c r="K23" i="9"/>
  <c r="J23" i="9"/>
  <c r="I23" i="9"/>
  <c r="K22" i="9"/>
  <c r="J22" i="9"/>
  <c r="I22" i="9"/>
  <c r="K21" i="9"/>
  <c r="J21" i="9"/>
  <c r="I21" i="9"/>
  <c r="K16" i="9"/>
  <c r="J16" i="9"/>
  <c r="I16" i="9"/>
  <c r="K15" i="9"/>
  <c r="J15" i="9"/>
  <c r="I15" i="9"/>
  <c r="K14" i="9"/>
  <c r="J14" i="9"/>
  <c r="I14" i="9"/>
  <c r="K13" i="9"/>
  <c r="J13" i="9"/>
  <c r="I13" i="9"/>
  <c r="K12" i="9"/>
  <c r="J12" i="9"/>
  <c r="I12" i="9"/>
  <c r="K11" i="9"/>
  <c r="J11" i="9"/>
  <c r="I11" i="9"/>
  <c r="K10" i="9"/>
  <c r="J10" i="9"/>
  <c r="I10" i="9"/>
  <c r="K9" i="9"/>
  <c r="J9" i="9"/>
  <c r="I9" i="9"/>
  <c r="I8" i="9"/>
  <c r="K7" i="9"/>
  <c r="K8" i="9"/>
  <c r="J8" i="9"/>
  <c r="J7" i="9"/>
  <c r="I7" i="9"/>
  <c r="K6" i="9"/>
  <c r="J6" i="9"/>
  <c r="I6" i="9"/>
  <c r="B2" i="9"/>
  <c r="I11" i="2"/>
  <c r="L11" i="20"/>
  <c r="K11" i="20"/>
  <c r="J11" i="20"/>
  <c r="L10" i="20"/>
  <c r="K10" i="20"/>
  <c r="J10" i="20"/>
  <c r="L9" i="20"/>
  <c r="K9" i="20"/>
  <c r="J9" i="20"/>
  <c r="L8" i="20"/>
  <c r="K8" i="20"/>
  <c r="J8" i="20"/>
  <c r="J17" i="2"/>
  <c r="J16" i="2"/>
  <c r="K8" i="2"/>
  <c r="K9" i="2"/>
  <c r="J9" i="2"/>
  <c r="J8" i="2"/>
  <c r="J7" i="2"/>
  <c r="J6" i="2"/>
  <c r="J13" i="2"/>
  <c r="J11" i="2"/>
  <c r="K10" i="2"/>
  <c r="J10" i="2"/>
  <c r="K7" i="2"/>
  <c r="K17" i="2"/>
  <c r="I17" i="2"/>
  <c r="K16" i="2"/>
  <c r="I16" i="2"/>
  <c r="K13" i="2"/>
  <c r="I13" i="2"/>
  <c r="K11" i="2"/>
  <c r="I10" i="2"/>
  <c r="I9" i="2"/>
  <c r="I8" i="2"/>
  <c r="I7" i="2"/>
  <c r="K19" i="4"/>
  <c r="K18" i="4"/>
  <c r="K15" i="4"/>
  <c r="J19" i="4"/>
  <c r="J18" i="4"/>
  <c r="J15" i="4"/>
  <c r="K6" i="2"/>
  <c r="I6" i="2"/>
  <c r="I19" i="4"/>
  <c r="I18" i="4"/>
  <c r="I15" i="4"/>
  <c r="K9" i="4"/>
  <c r="J9" i="4"/>
  <c r="I9" i="4"/>
  <c r="K8" i="4"/>
  <c r="J8" i="4"/>
  <c r="I8" i="4"/>
  <c r="I6" i="4"/>
  <c r="K6" i="4"/>
  <c r="J6" i="4"/>
  <c r="B3" i="20"/>
  <c r="B2" i="20"/>
  <c r="K13" i="20"/>
  <c r="F12" i="10"/>
  <c r="L13" i="20"/>
  <c r="H12" i="10"/>
  <c r="J13" i="20"/>
  <c r="E12" i="10"/>
  <c r="G12" i="10"/>
  <c r="F45" i="14"/>
  <c r="C5" i="10"/>
  <c r="F46" i="14"/>
  <c r="F47" i="14"/>
  <c r="E52" i="14"/>
  <c r="E53" i="14"/>
  <c r="E54" i="14"/>
  <c r="H9" i="10"/>
  <c r="G9" i="14"/>
  <c r="B3" i="19"/>
  <c r="B2" i="19"/>
  <c r="I19" i="19"/>
  <c r="K19" i="19"/>
  <c r="J19" i="19"/>
  <c r="K33" i="19"/>
  <c r="H14" i="10"/>
  <c r="J33" i="19"/>
  <c r="F14" i="10"/>
  <c r="I33" i="19"/>
  <c r="E14" i="10"/>
  <c r="I9" i="18"/>
  <c r="H9" i="18"/>
  <c r="G9" i="18"/>
  <c r="F9" i="18"/>
  <c r="G14" i="10"/>
  <c r="F87" i="18"/>
  <c r="F80" i="18"/>
  <c r="F53" i="18"/>
  <c r="C3" i="18"/>
  <c r="C2" i="18"/>
  <c r="F54" i="18"/>
  <c r="F55" i="18"/>
  <c r="F73" i="14"/>
  <c r="F9" i="10"/>
  <c r="I9" i="17"/>
  <c r="H9" i="17"/>
  <c r="G9" i="17"/>
  <c r="F9" i="17"/>
  <c r="E16" i="6"/>
  <c r="E63" i="18"/>
  <c r="F77" i="17"/>
  <c r="F70" i="17"/>
  <c r="C3" i="17"/>
  <c r="C2" i="17"/>
  <c r="G69" i="18"/>
  <c r="G70" i="18"/>
  <c r="H69" i="18"/>
  <c r="H70" i="18"/>
  <c r="F69" i="18"/>
  <c r="F70" i="18"/>
  <c r="E69" i="18"/>
  <c r="E70" i="18"/>
  <c r="F16" i="6"/>
  <c r="F9" i="14"/>
  <c r="F69" i="14"/>
  <c r="F70" i="14"/>
  <c r="I9" i="14"/>
  <c r="F84" i="14"/>
  <c r="F83" i="14"/>
  <c r="F77" i="14"/>
  <c r="F76" i="14"/>
  <c r="F75" i="14"/>
  <c r="F80" i="14"/>
  <c r="H9" i="14"/>
  <c r="C3" i="14"/>
  <c r="C2" i="14"/>
  <c r="D16" i="6"/>
  <c r="H43" i="6"/>
  <c r="G16" i="6"/>
  <c r="B3" i="6"/>
  <c r="B2" i="6"/>
  <c r="B3" i="9"/>
  <c r="B3" i="4"/>
  <c r="B2" i="4"/>
  <c r="D3" i="2"/>
  <c r="D3" i="20"/>
  <c r="D2" i="2"/>
  <c r="D2" i="20"/>
  <c r="G9" i="10"/>
  <c r="E9" i="10"/>
  <c r="H82" i="18"/>
  <c r="H88" i="18"/>
  <c r="H95" i="18"/>
  <c r="J95" i="18"/>
  <c r="J88" i="18"/>
  <c r="J82" i="18"/>
  <c r="G89" i="18"/>
  <c r="G82" i="18"/>
  <c r="G88" i="18"/>
  <c r="G95" i="18"/>
  <c r="I90" i="18"/>
  <c r="I95" i="18"/>
  <c r="I88" i="18"/>
  <c r="I82" i="18"/>
  <c r="J17" i="9"/>
  <c r="J20" i="9"/>
  <c r="K17" i="9"/>
  <c r="K20" i="9"/>
  <c r="I17" i="9"/>
  <c r="I20" i="9"/>
  <c r="E3" i="17"/>
  <c r="D3" i="19"/>
  <c r="E3" i="18"/>
  <c r="E2" i="17"/>
  <c r="D2" i="19"/>
  <c r="E2" i="18"/>
  <c r="J75" i="18"/>
  <c r="J81" i="18"/>
  <c r="J76" i="18"/>
  <c r="J91" i="18"/>
  <c r="J77" i="18"/>
  <c r="J89" i="18"/>
  <c r="J84" i="18"/>
  <c r="J90" i="18"/>
  <c r="J83" i="18"/>
  <c r="I77" i="18"/>
  <c r="I81" i="18"/>
  <c r="I91" i="18"/>
  <c r="I75" i="18"/>
  <c r="I84" i="18"/>
  <c r="I76" i="18"/>
  <c r="I89" i="18"/>
  <c r="I83" i="18"/>
  <c r="G77" i="18"/>
  <c r="G76" i="18"/>
  <c r="G83" i="18"/>
  <c r="G90" i="18"/>
  <c r="G75" i="18"/>
  <c r="G91" i="18"/>
  <c r="G84" i="18"/>
  <c r="G81" i="18"/>
  <c r="H81" i="18"/>
  <c r="H75" i="18"/>
  <c r="H89" i="18"/>
  <c r="H83" i="18"/>
  <c r="H91" i="18"/>
  <c r="H77" i="18"/>
  <c r="H90" i="18"/>
  <c r="H76" i="18"/>
  <c r="H84" i="18"/>
  <c r="D2" i="4"/>
  <c r="D2" i="9"/>
  <c r="D3" i="4"/>
  <c r="E3" i="14"/>
  <c r="D3" i="6"/>
  <c r="D2" i="6"/>
  <c r="E2" i="14"/>
  <c r="D3" i="9"/>
  <c r="H27" i="6"/>
  <c r="K27" i="6"/>
  <c r="K31" i="6"/>
  <c r="K44" i="6"/>
  <c r="K50" i="6"/>
  <c r="I21" i="6"/>
  <c r="L21" i="6"/>
  <c r="L24" i="6"/>
  <c r="I27" i="6"/>
  <c r="L27" i="6"/>
  <c r="L31" i="6"/>
  <c r="I34" i="6"/>
  <c r="L35" i="6"/>
  <c r="I43" i="6"/>
  <c r="L49" i="6"/>
  <c r="K48" i="6"/>
  <c r="J34" i="6"/>
  <c r="M34" i="6"/>
  <c r="H21" i="6"/>
  <c r="K21" i="6"/>
  <c r="K24" i="6"/>
  <c r="J43" i="6"/>
  <c r="M46" i="6"/>
  <c r="J21" i="6"/>
  <c r="K46" i="6"/>
  <c r="J27" i="6"/>
  <c r="K43" i="6"/>
  <c r="K51" i="6"/>
  <c r="K45" i="6"/>
  <c r="K47" i="6"/>
  <c r="K49" i="6"/>
  <c r="H34" i="6"/>
  <c r="K29" i="9"/>
  <c r="J92" i="18"/>
  <c r="J85" i="18"/>
  <c r="J78" i="18"/>
  <c r="G85" i="18"/>
  <c r="G92" i="18"/>
  <c r="I85" i="18"/>
  <c r="I92" i="18"/>
  <c r="I78" i="18"/>
  <c r="G78" i="18"/>
  <c r="H78" i="18"/>
  <c r="H85" i="18"/>
  <c r="H92" i="18"/>
  <c r="L30" i="6"/>
  <c r="K30" i="6"/>
  <c r="M38" i="6"/>
  <c r="M36" i="6"/>
  <c r="K28" i="6"/>
  <c r="M39" i="6"/>
  <c r="L37" i="6"/>
  <c r="L38" i="6"/>
  <c r="M35" i="6"/>
  <c r="L34" i="6"/>
  <c r="L29" i="6"/>
  <c r="L28" i="6"/>
  <c r="M37" i="6"/>
  <c r="K29" i="6"/>
  <c r="L50" i="6"/>
  <c r="L46" i="6"/>
  <c r="L45" i="6"/>
  <c r="L39" i="6"/>
  <c r="L36" i="6"/>
  <c r="K23" i="6"/>
  <c r="L22" i="6"/>
  <c r="L23" i="6"/>
  <c r="L48" i="6"/>
  <c r="L47" i="6"/>
  <c r="L44" i="6"/>
  <c r="L43" i="6"/>
  <c r="L51" i="6"/>
  <c r="M21" i="6"/>
  <c r="M24" i="6"/>
  <c r="K22" i="6"/>
  <c r="M23" i="6"/>
  <c r="M22" i="6"/>
  <c r="M47" i="6"/>
  <c r="M50" i="6"/>
  <c r="M48" i="6"/>
  <c r="M43" i="6"/>
  <c r="M51" i="6"/>
  <c r="M45" i="6"/>
  <c r="M49" i="6"/>
  <c r="M44" i="6"/>
  <c r="K39" i="6"/>
  <c r="K36" i="6"/>
  <c r="K38" i="6"/>
  <c r="K35" i="6"/>
  <c r="K37" i="6"/>
  <c r="K34" i="6"/>
  <c r="M30" i="6"/>
  <c r="M28" i="6"/>
  <c r="M27" i="6"/>
  <c r="M31" i="6"/>
  <c r="M29" i="6"/>
  <c r="J31" i="9"/>
  <c r="F13" i="10"/>
  <c r="K31" i="9"/>
  <c r="I31" i="9"/>
  <c r="E13" i="10"/>
  <c r="I96" i="18"/>
  <c r="I97" i="18"/>
  <c r="G19" i="10"/>
  <c r="G96" i="18"/>
  <c r="G97" i="18"/>
  <c r="E19" i="10"/>
  <c r="J96" i="18"/>
  <c r="J97" i="18"/>
  <c r="H19" i="10"/>
  <c r="H96" i="18"/>
  <c r="H97" i="18"/>
  <c r="F19" i="10"/>
  <c r="K40" i="6"/>
  <c r="K53" i="6"/>
  <c r="K58" i="6"/>
  <c r="E16" i="10"/>
  <c r="M40" i="6"/>
  <c r="M53" i="6"/>
  <c r="L40" i="6"/>
  <c r="H13" i="10"/>
  <c r="G13" i="10"/>
  <c r="L53" i="6"/>
  <c r="L58" i="6"/>
  <c r="F16" i="10"/>
  <c r="M58" i="6"/>
  <c r="G16" i="10"/>
  <c r="H16" i="10"/>
  <c r="I71" i="14"/>
  <c r="J71" i="14"/>
  <c r="E55" i="14"/>
  <c r="G62" i="14"/>
  <c r="G63" i="14"/>
  <c r="I83" i="14"/>
  <c r="H62" i="14"/>
  <c r="H63" i="14"/>
  <c r="H74" i="14"/>
  <c r="G83" i="14"/>
  <c r="I68" i="14"/>
  <c r="G68" i="14"/>
  <c r="G70" i="14"/>
  <c r="G77" i="14"/>
  <c r="G82" i="14"/>
  <c r="G74" i="14"/>
  <c r="I76" i="14"/>
  <c r="I70" i="14"/>
  <c r="I74" i="14"/>
  <c r="I69" i="14"/>
  <c r="I75" i="14"/>
  <c r="I88" i="14"/>
  <c r="I84" i="14"/>
  <c r="I77" i="14"/>
  <c r="G84" i="14"/>
  <c r="G85" i="14"/>
  <c r="G88" i="14"/>
  <c r="G69" i="14"/>
  <c r="G71" i="14"/>
  <c r="G75" i="14"/>
  <c r="H68" i="14"/>
  <c r="H88" i="14"/>
  <c r="H76" i="14"/>
  <c r="H77" i="14"/>
  <c r="H70" i="14"/>
  <c r="H69" i="14"/>
  <c r="H71" i="14"/>
  <c r="H84" i="14"/>
  <c r="H75" i="14"/>
  <c r="H83" i="14"/>
  <c r="H82" i="14"/>
  <c r="J69" i="14"/>
  <c r="J81" i="14"/>
  <c r="J75" i="14"/>
  <c r="J83" i="14"/>
  <c r="J84" i="14"/>
  <c r="J88" i="14"/>
  <c r="J68" i="14"/>
  <c r="J70" i="14"/>
  <c r="J76" i="14"/>
  <c r="J74" i="14"/>
  <c r="J77" i="14"/>
  <c r="J82" i="14"/>
  <c r="G76" i="14"/>
  <c r="I81" i="14"/>
  <c r="I82" i="14"/>
  <c r="H78" i="14"/>
  <c r="I78" i="14"/>
  <c r="J78" i="14"/>
  <c r="H85" i="14"/>
  <c r="H89" i="14"/>
  <c r="H90" i="14"/>
  <c r="F17" i="10"/>
  <c r="J85" i="14"/>
  <c r="I85" i="14"/>
  <c r="I89" i="14"/>
  <c r="I90" i="14"/>
  <c r="G17" i="10"/>
  <c r="G78" i="14"/>
  <c r="G89" i="14"/>
  <c r="G90" i="14"/>
  <c r="E17" i="10"/>
  <c r="J89" i="14"/>
  <c r="J90" i="14"/>
  <c r="H17" i="10"/>
  <c r="E49" i="17"/>
  <c r="E50" i="17"/>
  <c r="E51" i="17"/>
  <c r="E52" i="17"/>
  <c r="E59" i="17"/>
  <c r="E60" i="17"/>
  <c r="G85" i="17"/>
  <c r="G67" i="17"/>
  <c r="G66" i="17"/>
  <c r="G65" i="17"/>
  <c r="H59" i="17"/>
  <c r="H60" i="17"/>
  <c r="G59" i="17"/>
  <c r="G60" i="17"/>
  <c r="F59" i="17"/>
  <c r="F60" i="17"/>
  <c r="H85" i="17"/>
  <c r="H71" i="17"/>
  <c r="G68" i="17"/>
  <c r="I78" i="17"/>
  <c r="I85" i="17"/>
  <c r="I71" i="17"/>
  <c r="J78" i="17"/>
  <c r="J85" i="17"/>
  <c r="J71" i="17"/>
  <c r="I73" i="17"/>
  <c r="I74" i="17"/>
  <c r="G73" i="17"/>
  <c r="G81" i="17"/>
  <c r="G80" i="17"/>
  <c r="I80" i="17"/>
  <c r="I65" i="17"/>
  <c r="H67" i="17"/>
  <c r="H79" i="17"/>
  <c r="H80" i="17"/>
  <c r="H65" i="17"/>
  <c r="H66" i="17"/>
  <c r="H72" i="17"/>
  <c r="H73" i="17"/>
  <c r="H81" i="17"/>
  <c r="H74" i="17"/>
  <c r="G72" i="17"/>
  <c r="G71" i="17"/>
  <c r="I66" i="17"/>
  <c r="I81" i="17"/>
  <c r="I79" i="17"/>
  <c r="I72" i="17"/>
  <c r="I75" i="17"/>
  <c r="G74" i="17"/>
  <c r="G79" i="17"/>
  <c r="I67" i="17"/>
  <c r="J67" i="17"/>
  <c r="J73" i="17"/>
  <c r="J79" i="17"/>
  <c r="J80" i="17"/>
  <c r="J74" i="17"/>
  <c r="J66" i="17"/>
  <c r="J81" i="17"/>
  <c r="J72" i="17"/>
  <c r="J65" i="17"/>
  <c r="I82" i="17"/>
  <c r="H68" i="17"/>
  <c r="J82" i="17"/>
  <c r="G82" i="17"/>
  <c r="I68" i="17"/>
  <c r="J68" i="17"/>
  <c r="I86" i="17"/>
  <c r="I87" i="17"/>
  <c r="G18" i="10"/>
  <c r="H75" i="17"/>
  <c r="J75" i="17"/>
  <c r="G75" i="17"/>
  <c r="H82" i="17"/>
  <c r="G86" i="17"/>
  <c r="G87" i="17"/>
  <c r="H86" i="17"/>
  <c r="H87" i="17"/>
  <c r="F18" i="10"/>
  <c r="J86" i="17"/>
  <c r="J87" i="17"/>
  <c r="H18" i="10"/>
  <c r="E18" i="10"/>
  <c r="J26" i="4" l="1"/>
  <c r="F11" i="10" s="1"/>
  <c r="G11" i="10"/>
  <c r="H11" i="10"/>
  <c r="E15" i="10"/>
  <c r="E20" i="10" s="1"/>
  <c r="J24" i="2"/>
  <c r="F10" i="10" s="1"/>
  <c r="G10" i="10"/>
  <c r="H10" i="10"/>
  <c r="F15" i="10" l="1"/>
  <c r="F20" i="10" s="1"/>
  <c r="G15" i="10"/>
  <c r="G20" i="10" s="1"/>
  <c r="H15" i="10"/>
  <c r="H20" i="10" s="1"/>
</calcChain>
</file>

<file path=xl/comments1.xml><?xml version="1.0" encoding="utf-8"?>
<comments xmlns="http://schemas.openxmlformats.org/spreadsheetml/2006/main">
  <authors>
    <author>Aasen, Asle</author>
  </authors>
  <commentList>
    <comment ref="C19" authorId="0" shapeId="0">
      <text>
        <r>
          <rPr>
            <b/>
            <sz val="9"/>
            <color indexed="81"/>
            <rFont val="Tahoma"/>
            <family val="2"/>
          </rPr>
          <t>Aasen, Asle:</t>
        </r>
        <r>
          <rPr>
            <sz val="9"/>
            <color indexed="81"/>
            <rFont val="Tahoma"/>
            <family val="2"/>
          </rPr>
          <t xml:space="preserve">
</t>
        </r>
        <r>
          <rPr>
            <sz val="11"/>
            <color indexed="81"/>
            <rFont val="Times New Roman"/>
            <family val="1"/>
          </rPr>
          <t>Grenseverdiene må fastsettes for den relevante parameter i hvert enkelt tilfelle</t>
        </r>
      </text>
    </comment>
  </commentList>
</comments>
</file>

<file path=xl/comments2.xml><?xml version="1.0" encoding="utf-8"?>
<comments xmlns="http://schemas.openxmlformats.org/spreadsheetml/2006/main">
  <authors>
    <author>Aasen, Asle</author>
  </authors>
  <commentList>
    <comment ref="C21" authorId="0" shapeId="0">
      <text>
        <r>
          <rPr>
            <b/>
            <sz val="9"/>
            <color indexed="81"/>
            <rFont val="Tahoma"/>
            <family val="2"/>
          </rPr>
          <t>Aasen, Asle:</t>
        </r>
        <r>
          <rPr>
            <sz val="9"/>
            <color indexed="81"/>
            <rFont val="Tahoma"/>
            <family val="2"/>
          </rPr>
          <t xml:space="preserve">
</t>
        </r>
        <r>
          <rPr>
            <sz val="11"/>
            <color indexed="81"/>
            <rFont val="Times New Roman"/>
            <family val="1"/>
          </rPr>
          <t>Grenseverdiene må fastsettes for den relevante parameter i hvert enkelt tilfelle</t>
        </r>
      </text>
    </comment>
  </commentList>
</comments>
</file>

<file path=xl/sharedStrings.xml><?xml version="1.0" encoding="utf-8"?>
<sst xmlns="http://schemas.openxmlformats.org/spreadsheetml/2006/main" count="1123" uniqueCount="454">
  <si>
    <t>Maksimal log-kreditt for vannbehandling utover sluttdesinfeksjon</t>
    <phoneticPr fontId="4" type="noConversion"/>
  </si>
  <si>
    <t>Vannbehandlingstiltak utover sluttdesinfeksjon</t>
    <phoneticPr fontId="4" type="noConversion"/>
  </si>
  <si>
    <t>Maksimal log-kreditt for tiltak knyttet til løsmassebrønner, hvorav</t>
    <phoneticPr fontId="4" type="noConversion"/>
  </si>
  <si>
    <t>Tiltak knyttet til vannkilde og nedslagsfelt - grunnvann</t>
    <phoneticPr fontId="4" type="noConversion"/>
  </si>
  <si>
    <t>Maksimal log-kreditt for overvåkingstiltak på råvann (3.8)</t>
    <phoneticPr fontId="4" type="noConversion"/>
  </si>
  <si>
    <t>Med elver og bekker som kilde</t>
    <phoneticPr fontId="4" type="noConversion"/>
  </si>
  <si>
    <t>Fjellbrønner</t>
    <phoneticPr fontId="4" type="noConversion"/>
  </si>
  <si>
    <t>Løsmassebrønner</t>
    <phoneticPr fontId="4" type="noConversion"/>
  </si>
  <si>
    <t>Med grunnvann som kilde</t>
    <phoneticPr fontId="4" type="noConversion"/>
  </si>
  <si>
    <t>Med innsjøer som kilde</t>
    <phoneticPr fontId="4" type="noConversion"/>
  </si>
  <si>
    <t>Absolutt maksimalt oppnåelig log-kreditt gjennom tiltak både i vannkilde/nedslagsfelt og vannbehandling utover sluttdesinfeksjon</t>
    <phoneticPr fontId="4" type="noConversion"/>
  </si>
  <si>
    <t>Maksimal log-kreditt for driftsovervåkning vannbehandlingsanlegget</t>
    <phoneticPr fontId="4" type="noConversion"/>
  </si>
  <si>
    <t>A</t>
  </si>
  <si>
    <t>A1</t>
  </si>
  <si>
    <t>A2</t>
  </si>
  <si>
    <t>B</t>
  </si>
  <si>
    <t>B1</t>
  </si>
  <si>
    <t>B2</t>
  </si>
  <si>
    <t>B3</t>
  </si>
  <si>
    <t>C</t>
  </si>
  <si>
    <t>C1</t>
  </si>
  <si>
    <t>C2</t>
  </si>
  <si>
    <t>C3</t>
  </si>
  <si>
    <t>C4</t>
  </si>
  <si>
    <t>C5</t>
  </si>
  <si>
    <t>D</t>
  </si>
  <si>
    <t>D1</t>
  </si>
  <si>
    <t>D2</t>
  </si>
  <si>
    <t>D3</t>
  </si>
  <si>
    <t>D4</t>
  </si>
  <si>
    <t>D5</t>
  </si>
  <si>
    <t>D6</t>
  </si>
  <si>
    <t>D7</t>
  </si>
  <si>
    <t>Maksimal log-kreditt, hvorav</t>
    <phoneticPr fontId="4" type="noConversion"/>
  </si>
  <si>
    <t xml:space="preserve">Virus </t>
  </si>
  <si>
    <t>Tiltak knyttet til vannkilde og nedslagsfelt - innsjøer</t>
    <phoneticPr fontId="4" type="noConversion"/>
  </si>
  <si>
    <t>Virus</t>
    <phoneticPr fontId="4" type="noConversion"/>
  </si>
  <si>
    <t>Bakterier</t>
    <phoneticPr fontId="4" type="noConversion"/>
  </si>
  <si>
    <t>Maksimal log-kreditt knyttet til overvåkning av råvannskvalitet - forutsetter automatisk avstengning av råvannstilførsel fra aktuell kilde ved overskridelse av grenseverdi</t>
    <phoneticPr fontId="4" type="noConversion"/>
  </si>
  <si>
    <t>Tiltak knyttet til vannkilde og nedslagsfelt - Elver og bekker</t>
    <phoneticPr fontId="4" type="noConversion"/>
  </si>
  <si>
    <t>Maksimal log-kreditt for overvåkingstiltak på råvann</t>
    <phoneticPr fontId="4" type="noConversion"/>
  </si>
  <si>
    <t>Maksimal log-kreditt for tiltak knyttet til fjellbrønner, hvorav</t>
    <phoneticPr fontId="4" type="noConversion"/>
  </si>
  <si>
    <t>Barrieretiltak</t>
    <phoneticPr fontId="4" type="noConversion"/>
  </si>
  <si>
    <t>Maksimal log-kreditt for ulike tiltak i nye anlegg</t>
    <phoneticPr fontId="4" type="noConversion"/>
  </si>
  <si>
    <t>Maksimal log-kreditt for fysiske og restriktive tiltak (3.4)</t>
    <phoneticPr fontId="4" type="noConversion"/>
  </si>
  <si>
    <t>A</t>
    <phoneticPr fontId="4" type="noConversion"/>
  </si>
  <si>
    <t>B</t>
    <phoneticPr fontId="4" type="noConversion"/>
  </si>
  <si>
    <t>C</t>
    <phoneticPr fontId="4" type="noConversion"/>
  </si>
  <si>
    <t>D</t>
    <phoneticPr fontId="4" type="noConversion"/>
  </si>
  <si>
    <t>b</t>
    <phoneticPr fontId="4" type="noConversion"/>
  </si>
  <si>
    <t>&lt;1000</t>
    <phoneticPr fontId="4" type="noConversion"/>
  </si>
  <si>
    <t>1000 - 10000</t>
    <phoneticPr fontId="4" type="noConversion"/>
  </si>
  <si>
    <t>&gt;10000</t>
    <phoneticPr fontId="4" type="noConversion"/>
  </si>
  <si>
    <t>v</t>
    <phoneticPr fontId="4" type="noConversion"/>
  </si>
  <si>
    <t>p</t>
    <phoneticPr fontId="4" type="noConversion"/>
  </si>
  <si>
    <t>Virus</t>
  </si>
  <si>
    <t>Parasitter</t>
  </si>
  <si>
    <t>E</t>
  </si>
  <si>
    <t>1.1</t>
  </si>
  <si>
    <t>1.2</t>
  </si>
  <si>
    <t>1.3</t>
  </si>
  <si>
    <t>2.1</t>
  </si>
  <si>
    <t>3.1</t>
  </si>
  <si>
    <t>3.2</t>
  </si>
  <si>
    <t>3.3</t>
  </si>
  <si>
    <t>(3 log)</t>
  </si>
  <si>
    <t>(2 log)</t>
  </si>
  <si>
    <t>pH &lt; 7</t>
  </si>
  <si>
    <t>pH 7 – 8</t>
  </si>
  <si>
    <t xml:space="preserve">pH &gt; 8 </t>
  </si>
  <si>
    <t>Grad av stempelstrøm</t>
  </si>
  <si>
    <t>Dårlig</t>
  </si>
  <si>
    <t>Middels</t>
  </si>
  <si>
    <t>Ganske bra</t>
  </si>
  <si>
    <t>Svært bra</t>
  </si>
  <si>
    <r>
      <t>1</t>
    </r>
    <r>
      <rPr>
        <sz val="9"/>
        <rFont val="Arial"/>
        <family val="2"/>
      </rPr>
      <t>Faktor som som t</t>
    </r>
    <r>
      <rPr>
        <vertAlign val="subscript"/>
        <sz val="9"/>
        <rFont val="Arial"/>
        <family val="2"/>
      </rPr>
      <t>10</t>
    </r>
    <r>
      <rPr>
        <sz val="9"/>
        <rFont val="Arial"/>
        <family val="2"/>
      </rPr>
      <t xml:space="preserve">/T multipliseres med når man har hhv. 2 og 3 kammer i serie i kontaktbassenget </t>
    </r>
  </si>
  <si>
    <t>Ingen (ideell blanding)</t>
  </si>
  <si>
    <t>Perfekt (stempelstrøm)</t>
  </si>
  <si>
    <t>mg TOC/l</t>
  </si>
  <si>
    <t>X</t>
  </si>
  <si>
    <t>Giardia</t>
  </si>
  <si>
    <t>3 log</t>
  </si>
  <si>
    <t>2 log</t>
  </si>
  <si>
    <t>Crypto-sporidium</t>
  </si>
  <si>
    <t>&gt;100</t>
  </si>
  <si>
    <t>&gt;150</t>
  </si>
  <si>
    <r>
      <t>Tabell 3.2 Veiledende verdier for hydraulisk faktor (t</t>
    </r>
    <r>
      <rPr>
        <i/>
        <vertAlign val="subscript"/>
        <sz val="10"/>
        <rFont val="Verdana"/>
        <family val="2"/>
      </rPr>
      <t>10</t>
    </r>
    <r>
      <rPr>
        <i/>
        <sz val="10"/>
        <rFont val="Verdana"/>
        <family val="2"/>
      </rPr>
      <t>/T). Sett kryss ved grad av stempelstrømning og kammerløsning</t>
    </r>
  </si>
  <si>
    <r>
      <t>Hydraulisk faktor F</t>
    </r>
    <r>
      <rPr>
        <b/>
        <vertAlign val="subscript"/>
        <sz val="11"/>
        <rFont val="Times New Roman"/>
        <family val="1"/>
      </rPr>
      <t>h</t>
    </r>
    <r>
      <rPr>
        <b/>
        <vertAlign val="superscript"/>
        <sz val="11"/>
        <rFont val="Times New Roman"/>
        <family val="1"/>
      </rPr>
      <t>1.2</t>
    </r>
  </si>
  <si>
    <r>
      <t>t</t>
    </r>
    <r>
      <rPr>
        <b/>
        <vertAlign val="subscript"/>
        <sz val="9"/>
        <rFont val="Verdana"/>
        <family val="2"/>
      </rPr>
      <t>10</t>
    </r>
    <r>
      <rPr>
        <b/>
        <sz val="9"/>
        <rFont val="Verdana"/>
        <family val="2"/>
      </rPr>
      <t>/T</t>
    </r>
    <r>
      <rPr>
        <b/>
        <vertAlign val="superscript"/>
        <sz val="9"/>
        <rFont val="Verdana"/>
        <family val="2"/>
      </rPr>
      <t>1</t>
    </r>
  </si>
  <si>
    <r>
      <t>t</t>
    </r>
    <r>
      <rPr>
        <b/>
        <vertAlign val="subscript"/>
        <sz val="11"/>
        <rFont val="Times New Roman"/>
        <family val="1"/>
      </rPr>
      <t>m</t>
    </r>
    <r>
      <rPr>
        <b/>
        <sz val="11"/>
        <rFont val="Times New Roman"/>
        <family val="1"/>
      </rPr>
      <t>/T</t>
    </r>
    <r>
      <rPr>
        <b/>
        <vertAlign val="superscript"/>
        <sz val="11"/>
        <rFont val="Times New Roman"/>
        <family val="1"/>
      </rPr>
      <t>2</t>
    </r>
  </si>
  <si>
    <t>Kamre i serie</t>
  </si>
  <si>
    <r>
      <t>Serie faktor F</t>
    </r>
    <r>
      <rPr>
        <b/>
        <vertAlign val="subscript"/>
        <sz val="9"/>
        <rFont val="Verdana"/>
        <family val="2"/>
      </rPr>
      <t>s</t>
    </r>
  </si>
  <si>
    <t>Valg av desinfeksjonsmetode UV</t>
  </si>
  <si>
    <t>a</t>
  </si>
  <si>
    <t>b</t>
  </si>
  <si>
    <t>c</t>
  </si>
  <si>
    <r>
      <t>mg Cl</t>
    </r>
    <r>
      <rPr>
        <vertAlign val="subscript"/>
        <sz val="11"/>
        <rFont val="Arial"/>
        <family val="2"/>
      </rPr>
      <t>2</t>
    </r>
    <r>
      <rPr>
        <sz val="11"/>
        <rFont val="Arial"/>
        <family val="2"/>
      </rPr>
      <t>/l</t>
    </r>
  </si>
  <si>
    <r>
      <t>4</t>
    </r>
    <r>
      <rPr>
        <vertAlign val="superscript"/>
        <sz val="9"/>
        <rFont val="Arial"/>
        <family val="2"/>
      </rPr>
      <t>o</t>
    </r>
    <r>
      <rPr>
        <sz val="9"/>
        <rFont val="Arial"/>
        <family val="2"/>
      </rPr>
      <t>C</t>
    </r>
  </si>
  <si>
    <r>
      <t>0,5</t>
    </r>
    <r>
      <rPr>
        <vertAlign val="superscript"/>
        <sz val="9"/>
        <rFont val="Arial"/>
        <family val="2"/>
      </rPr>
      <t xml:space="preserve"> o</t>
    </r>
    <r>
      <rPr>
        <sz val="9"/>
        <rFont val="Arial"/>
        <family val="2"/>
      </rPr>
      <t>C</t>
    </r>
  </si>
  <si>
    <r>
      <t>0,5</t>
    </r>
    <r>
      <rPr>
        <vertAlign val="superscript"/>
        <sz val="9"/>
        <rFont val="Arial"/>
        <family val="2"/>
      </rPr>
      <t>o</t>
    </r>
    <r>
      <rPr>
        <sz val="9"/>
        <rFont val="Arial"/>
        <family val="2"/>
      </rPr>
      <t>C</t>
    </r>
  </si>
  <si>
    <t>mg*min/l</t>
  </si>
  <si>
    <r>
      <t>mg Cl</t>
    </r>
    <r>
      <rPr>
        <vertAlign val="subscript"/>
        <sz val="12"/>
        <rFont val="Arial"/>
        <family val="2"/>
      </rPr>
      <t>2</t>
    </r>
    <r>
      <rPr>
        <sz val="12"/>
        <rFont val="Arial"/>
        <family val="2"/>
      </rPr>
      <t>/l</t>
    </r>
  </si>
  <si>
    <t>D = A ÷ B ÷ C</t>
  </si>
  <si>
    <r>
      <t>4</t>
    </r>
    <r>
      <rPr>
        <vertAlign val="superscript"/>
        <sz val="10"/>
        <rFont val="Arial"/>
        <family val="2"/>
      </rPr>
      <t>o</t>
    </r>
    <r>
      <rPr>
        <sz val="10"/>
        <rFont val="Arial"/>
        <family val="2"/>
      </rPr>
      <t>C</t>
    </r>
  </si>
  <si>
    <r>
      <t>0,5</t>
    </r>
    <r>
      <rPr>
        <vertAlign val="superscript"/>
        <sz val="10"/>
        <rFont val="Arial"/>
        <family val="2"/>
      </rPr>
      <t xml:space="preserve"> o</t>
    </r>
    <r>
      <rPr>
        <sz val="10"/>
        <rFont val="Arial"/>
        <family val="2"/>
      </rPr>
      <t>C</t>
    </r>
  </si>
  <si>
    <r>
      <t>0,5</t>
    </r>
    <r>
      <rPr>
        <vertAlign val="superscript"/>
        <sz val="10"/>
        <rFont val="Arial"/>
        <family val="2"/>
      </rPr>
      <t>o</t>
    </r>
    <r>
      <rPr>
        <sz val="10"/>
        <rFont val="Arial"/>
        <family val="2"/>
      </rPr>
      <t>C</t>
    </r>
  </si>
  <si>
    <r>
      <t>mg O</t>
    </r>
    <r>
      <rPr>
        <vertAlign val="subscript"/>
        <sz val="12"/>
        <rFont val="Arial"/>
        <family val="2"/>
      </rPr>
      <t>3</t>
    </r>
    <r>
      <rPr>
        <sz val="12"/>
        <rFont val="Arial"/>
        <family val="2"/>
      </rPr>
      <t>/l</t>
    </r>
  </si>
  <si>
    <t>BB</t>
  </si>
  <si>
    <t>VV</t>
  </si>
  <si>
    <t>Microbial barrier analysis</t>
  </si>
  <si>
    <t>Based on Norwegian Water report 202/2014 - Microbial barrier analysis (MBA) - a guideline (Ødegaard, et al.)</t>
  </si>
  <si>
    <t>The procedure is carried out by determining the following:</t>
  </si>
  <si>
    <t xml:space="preserve">Type of water source (becomes important when determining necessary log-reduction) </t>
  </si>
  <si>
    <t>Registration</t>
  </si>
  <si>
    <t>Fill out the name of the water treatment plant and its owner:</t>
  </si>
  <si>
    <t xml:space="preserve">Name of the water treatment plant: </t>
  </si>
  <si>
    <t>Owner of water treatment plant:</t>
  </si>
  <si>
    <t xml:space="preserve">Cells where values can /should be entered are highlighted in gray.  </t>
  </si>
  <si>
    <t>Determination of the required barrier level</t>
  </si>
  <si>
    <t>Required barrier level</t>
  </si>
  <si>
    <t>Bacteria</t>
  </si>
  <si>
    <t>Viruses</t>
  </si>
  <si>
    <t>Parasites</t>
  </si>
  <si>
    <t>Size of water system</t>
  </si>
  <si>
    <t>Name of the water treatment plant:</t>
  </si>
  <si>
    <t>Log-credit for barrier actions in lakes and their catchment area.</t>
  </si>
  <si>
    <t>Reduction of the pollution load to the water source</t>
  </si>
  <si>
    <t xml:space="preserve">Closing of all sewage discharges directly to the water source and to river systems that leads directly to the source </t>
  </si>
  <si>
    <t>Evaluation (Yes/No)</t>
  </si>
  <si>
    <t>YES</t>
  </si>
  <si>
    <t>NO</t>
  </si>
  <si>
    <t>Restrictions in the activity allowed in the water source and the catchment area</t>
  </si>
  <si>
    <t>Measures connected to the water intake in the lake</t>
  </si>
  <si>
    <t xml:space="preserve">Introducing a ban on potentially polluting activities in the catchment area, e.g. homes, cottages, motor traffic, etc. </t>
  </si>
  <si>
    <t>Introducing a ban (or restrictions) on the use of watersports, bathing or other types of recreation in the water source, e.g. motor traffic</t>
  </si>
  <si>
    <t>Lowering or moving of the water intake to a depth that ensures that the intake is below the thermocline except in the circulation periods</t>
  </si>
  <si>
    <t xml:space="preserve">Sum of log-credit for NEW actions in lakes and catchment area. (Absolute maximum summarized log-credit for barrier measures in water source and catchment are 2,0b + 2,0v + 1,25p.) </t>
  </si>
  <si>
    <t>Increased sampling frequency</t>
  </si>
  <si>
    <t>On-line monitoring of raw water quality</t>
  </si>
  <si>
    <t>Log-credit for NEW physical and restrictive actions in lakes and catchment area     (Table 2.4).</t>
  </si>
  <si>
    <t>Log-credit for improved surveillance of the raw water quality (Table 2.7)</t>
  </si>
  <si>
    <t>Log-credit for improved surveillance of the raw water quality (Table 2.7).</t>
  </si>
  <si>
    <t>Extended microbial sampling and analysis program for raw water monitoring: at least as comprehensive as the risk-based program</t>
  </si>
  <si>
    <t>Extended microbial sampling and analysis program for raw water monitoring: at least as comprehensive as that used for net control</t>
  </si>
  <si>
    <t xml:space="preserve">On-line monitoring of raw water quality (turbidity, microbial activity or other parameters useful for monitoring the microbial quality), to be able to:  </t>
  </si>
  <si>
    <t>- automatically close raw water supply</t>
  </si>
  <si>
    <t>Log-credit for NEW barrier actions connected to groundwater sources (Table 2.5)</t>
  </si>
  <si>
    <t>Log-credit for barrier actions connected to groundwater</t>
  </si>
  <si>
    <t>Zone 0               The well zone</t>
  </si>
  <si>
    <t>Zone 2
The distant inflow zone. For groundwater in bedrock zone 2 extends to 100 m from the outer border of zone 1.</t>
  </si>
  <si>
    <t>Zone 1
The close inflow zone. For groundwater in bedrock zone 1 extends to 100 m from the outer border of zone 0.</t>
  </si>
  <si>
    <t>Improvement of well design and construction</t>
  </si>
  <si>
    <t>Fencing around and locking of gate to the well zone</t>
  </si>
  <si>
    <t xml:space="preserve">Absolut maximum summarized log-credit for barrier actions implemented in connection with ground water                             (Maximum summarized values are 2,0b + 2,0v + 1,25p.) </t>
  </si>
  <si>
    <t>Introducing a ban on all forms of sewage installations in the zone. Including sewage pipes, septic tanks, on-site infiltration systems etc., as well as spreading of sewage sludge</t>
  </si>
  <si>
    <t>Introducing a ban on potentially polluting activities in the zone, e.g. homes, cottages, motor traffic etc. and all form of waste disposal sites</t>
  </si>
  <si>
    <t>Introducing a ban on all forms of sewage discharges to the ground, including effluents that are infiltrated in the ground, spreading of sewage sludge etc.</t>
  </si>
  <si>
    <t>Introducing a ban on all forms of agricultural activity in the zone, including grass production, fertilizing, use of pesticides and use of the zone (or parts of it) as grazing land for farm animals</t>
  </si>
  <si>
    <t>Raising of the well pipe to at least 40 cm above ground including a water-tight lid</t>
  </si>
  <si>
    <t>Sum of log credit for new actions in lakes and catchment area and sampling and on-line monitoring of raw water quality. (Maximum summarized values are 2,0b + 2,0v +1,25p.) Transfers to summary.</t>
  </si>
  <si>
    <t>Micro membrane (MF) filtration - nominal membrane pore diameter &lt; 100 nm</t>
  </si>
  <si>
    <t>Ultra membrane (UF) filtration - nominal membrane pore diameter &lt; 40 nm</t>
  </si>
  <si>
    <t>Nano membrane (NF) filtration -nominal membrane pore diameter &lt; 5 nm</t>
  </si>
  <si>
    <t>Slow sand filtration - filtration rate &lt; 0,5 m/h</t>
  </si>
  <si>
    <t>Coagulation - direct filtration (media-filter) - provided turbidity in produced water &lt; 0,2 NTU</t>
  </si>
  <si>
    <t>Coagulation - micro membrane (MF) filtration - provided turbidity in produced water &lt; 0,1 NTU</t>
  </si>
  <si>
    <t>Coagulation - Ultra membrane (UF) filtration - provided turbidity in produced water &lt; 0,1 NTU</t>
  </si>
  <si>
    <t xml:space="preserve">Determination of log-credit for particle separation processes in water treatment.                                               </t>
  </si>
  <si>
    <t>Log-credit for particle separation processes in water treatment (Table 2.8)</t>
  </si>
  <si>
    <t>Deduction of the log-credit for lack of operationcontrol monitoring actions (Table 2.9)</t>
  </si>
  <si>
    <t>On-line monitoring of treated water quality with follow-up actions to comply with set limit values</t>
  </si>
  <si>
    <t>Continuous monitoring of the electricity supply with follow-up actions at lapse of electricity supply</t>
  </si>
  <si>
    <t>a) is lacking</t>
  </si>
  <si>
    <r>
      <t xml:space="preserve">b) is present, activating an alarm at lapse of electricity supply, leading to </t>
    </r>
    <r>
      <rPr>
        <u/>
        <sz val="11"/>
        <rFont val="Arial"/>
        <family val="2"/>
      </rPr>
      <t>manual closing</t>
    </r>
    <r>
      <rPr>
        <sz val="11"/>
        <rFont val="Arial"/>
        <family val="2"/>
      </rPr>
      <t xml:space="preserve"> of raw water supply, until normal electricity supply is restored</t>
    </r>
  </si>
  <si>
    <r>
      <t xml:space="preserve">c) is present, activating an alarm at lapse of electricity supply, leading to </t>
    </r>
    <r>
      <rPr>
        <u/>
        <sz val="11"/>
        <rFont val="Arial"/>
        <family val="2"/>
      </rPr>
      <t>automatic closing</t>
    </r>
    <r>
      <rPr>
        <sz val="11"/>
        <rFont val="Arial"/>
        <family val="2"/>
      </rPr>
      <t xml:space="preserve"> of raw water supply, until normal electricity supply is restored</t>
    </r>
  </si>
  <si>
    <t xml:space="preserve">This side can be used if water treatment plant has more than one water treatment process for particle separation. This is than used for water treatment process/step 2. </t>
  </si>
  <si>
    <t>Log-credit for measures in water treatment plants with particle separation process, including any deductions for deficiencies in operational monitoring. Transfers to summary.</t>
  </si>
  <si>
    <r>
      <t xml:space="preserve">e) is present, activating an alarm leading to </t>
    </r>
    <r>
      <rPr>
        <u/>
        <sz val="11"/>
        <rFont val="Arial"/>
        <family val="2"/>
      </rPr>
      <t>automatic start-up</t>
    </r>
    <r>
      <rPr>
        <sz val="11"/>
        <rFont val="Arial"/>
        <family val="2"/>
      </rPr>
      <t xml:space="preserve"> of emergency el-supply generator and/or UPS at failure of electricity supply</t>
    </r>
  </si>
  <si>
    <t>Virus based on Adenovirus</t>
  </si>
  <si>
    <t>Choose category</t>
  </si>
  <si>
    <r>
      <t>30 mJ/cm</t>
    </r>
    <r>
      <rPr>
        <vertAlign val="superscript"/>
        <sz val="11"/>
        <rFont val="Times New Roman"/>
        <family val="1"/>
      </rPr>
      <t>2</t>
    </r>
    <r>
      <rPr>
        <sz val="11"/>
        <rFont val="Times New Roman"/>
      </rPr>
      <t xml:space="preserve"> average dose excl. Adenovirus</t>
    </r>
  </si>
  <si>
    <r>
      <t>30 mJ/cm</t>
    </r>
    <r>
      <rPr>
        <vertAlign val="superscript"/>
        <sz val="11"/>
        <rFont val="Times New Roman"/>
        <family val="1"/>
      </rPr>
      <t>2</t>
    </r>
    <r>
      <rPr>
        <sz val="11"/>
        <rFont val="Times New Roman"/>
      </rPr>
      <t xml:space="preserve"> average dose based on Adenovirus</t>
    </r>
  </si>
  <si>
    <r>
      <t>25 mJ/cm</t>
    </r>
    <r>
      <rPr>
        <vertAlign val="superscript"/>
        <sz val="11"/>
        <rFont val="Times New Roman"/>
        <family val="1"/>
      </rPr>
      <t xml:space="preserve">2 </t>
    </r>
    <r>
      <rPr>
        <sz val="11"/>
        <rFont val="Times New Roman"/>
      </rPr>
      <t>biodosimetric dose excl. Adenovirus</t>
    </r>
  </si>
  <si>
    <r>
      <t>25 mJ/cm</t>
    </r>
    <r>
      <rPr>
        <vertAlign val="superscript"/>
        <sz val="11"/>
        <rFont val="Times New Roman"/>
        <family val="1"/>
      </rPr>
      <t>2</t>
    </r>
    <r>
      <rPr>
        <sz val="11"/>
        <rFont val="Times New Roman"/>
      </rPr>
      <t xml:space="preserve"> biodosimetric dose based on Adenovirus</t>
    </r>
  </si>
  <si>
    <r>
      <t>30 mJ/cm</t>
    </r>
    <r>
      <rPr>
        <vertAlign val="superscript"/>
        <sz val="11"/>
        <rFont val="Times New Roman"/>
        <family val="1"/>
      </rPr>
      <t>2</t>
    </r>
    <r>
      <rPr>
        <sz val="11"/>
        <rFont val="Times New Roman"/>
      </rPr>
      <t xml:space="preserve"> biodosimetric dose excl. Adenovirus</t>
    </r>
  </si>
  <si>
    <r>
      <t>30 mJ/cm</t>
    </r>
    <r>
      <rPr>
        <vertAlign val="superscript"/>
        <sz val="11"/>
        <rFont val="Times New Roman"/>
        <family val="1"/>
      </rPr>
      <t>2</t>
    </r>
    <r>
      <rPr>
        <sz val="11"/>
        <rFont val="Times New Roman"/>
      </rPr>
      <t xml:space="preserve"> biodosimetric dose based on Adenovirus</t>
    </r>
  </si>
  <si>
    <r>
      <t>40 mJ/cm</t>
    </r>
    <r>
      <rPr>
        <vertAlign val="superscript"/>
        <sz val="11"/>
        <rFont val="Times New Roman"/>
        <family val="1"/>
      </rPr>
      <t>2</t>
    </r>
    <r>
      <rPr>
        <sz val="11"/>
        <rFont val="Times New Roman"/>
      </rPr>
      <t xml:space="preserve"> biodosimetric dose based on Adenovirus</t>
    </r>
  </si>
  <si>
    <r>
      <t>40 mJ/cm</t>
    </r>
    <r>
      <rPr>
        <vertAlign val="superscript"/>
        <sz val="11"/>
        <rFont val="Times New Roman"/>
        <family val="1"/>
      </rPr>
      <t>2</t>
    </r>
    <r>
      <rPr>
        <sz val="11"/>
        <rFont val="Times New Roman"/>
      </rPr>
      <t xml:space="preserve"> biodosimetric dose excl. Adenovirus</t>
    </r>
  </si>
  <si>
    <t>Parasites of the Giardia group</t>
  </si>
  <si>
    <t>Parasites of the Cryptosporidium group</t>
  </si>
  <si>
    <t xml:space="preserve">Does not disinfect with chlorine </t>
  </si>
  <si>
    <t xml:space="preserve">Tabele 3.1 Required Ct-values (mg min/l) for inactivation of bacteria, virus and parasites </t>
  </si>
  <si>
    <t>Does not disinfect with chlorine dioxide</t>
  </si>
  <si>
    <t>Chlorine dioxide and temperature 4ºC</t>
  </si>
  <si>
    <t>Chlorine dioxide and temperature 0,5ºC</t>
  </si>
  <si>
    <t>Does not disinfect with ozone</t>
  </si>
  <si>
    <t>Ozone and temperature 4ºC</t>
  </si>
  <si>
    <t>Ozone and temperature 0,5ºC</t>
  </si>
  <si>
    <r>
      <t>through model calculation (C</t>
    </r>
    <r>
      <rPr>
        <vertAlign val="subscript"/>
        <sz val="12"/>
        <rFont val="Calibri"/>
        <family val="2"/>
        <scheme val="minor"/>
      </rPr>
      <t>dose</t>
    </r>
    <r>
      <rPr>
        <sz val="12"/>
        <rFont val="Calibri"/>
        <family val="2"/>
        <scheme val="minor"/>
      </rPr>
      <t>, TOC)</t>
    </r>
  </si>
  <si>
    <r>
      <t>through a combination of measurements and calculations (C</t>
    </r>
    <r>
      <rPr>
        <vertAlign val="subscript"/>
        <sz val="12"/>
        <rFont val="Calibri"/>
        <family val="2"/>
        <scheme val="minor"/>
      </rPr>
      <t>dose,</t>
    </r>
    <r>
      <rPr>
        <sz val="12"/>
        <rFont val="Calibri"/>
        <family val="2"/>
        <scheme val="minor"/>
      </rPr>
      <t xml:space="preserve"> C</t>
    </r>
    <r>
      <rPr>
        <vertAlign val="subscript"/>
        <sz val="12"/>
        <rFont val="Calibri"/>
        <family val="2"/>
        <scheme val="minor"/>
      </rPr>
      <t>out</t>
    </r>
    <r>
      <rPr>
        <sz val="12"/>
        <rFont val="Calibri"/>
        <family val="2"/>
        <scheme val="minor"/>
      </rPr>
      <t xml:space="preserve"> og TOC)</t>
    </r>
  </si>
  <si>
    <t>Determination of initial consumption (IC) and degredation constant (k):</t>
  </si>
  <si>
    <r>
      <t>UV-dose 40 mJ/cm</t>
    </r>
    <r>
      <rPr>
        <vertAlign val="superscript"/>
        <sz val="11"/>
        <rFont val="Arial"/>
        <family val="2"/>
      </rPr>
      <t>2</t>
    </r>
    <r>
      <rPr>
        <sz val="11"/>
        <rFont val="Arial"/>
        <family val="2"/>
      </rPr>
      <t xml:space="preserve"> determined biodosimetrically</t>
    </r>
  </si>
  <si>
    <t>Other design related issues:</t>
  </si>
  <si>
    <t>Other operation related issues:</t>
  </si>
  <si>
    <t>Log-credit for water treatment measures beyond final disinfection</t>
  </si>
  <si>
    <t>Log-credit for  water treatment measures beyond final disinfection</t>
  </si>
  <si>
    <t>Maximum deduction in category A</t>
  </si>
  <si>
    <t>Maximum deduction in category B</t>
  </si>
  <si>
    <t>Maximum deduction in category C</t>
  </si>
  <si>
    <t>Maximum deduction in category D</t>
  </si>
  <si>
    <r>
      <t>UV-dose 30 mJ/cm</t>
    </r>
    <r>
      <rPr>
        <vertAlign val="superscript"/>
        <sz val="11"/>
        <rFont val="Arial"/>
        <family val="2"/>
      </rPr>
      <t>2</t>
    </r>
    <r>
      <rPr>
        <sz val="11"/>
        <rFont val="Arial"/>
        <family val="2"/>
      </rPr>
      <t xml:space="preserve"> calculated biodosimetrically</t>
    </r>
  </si>
  <si>
    <r>
      <t>UV-dose 30 mJ/cm</t>
    </r>
    <r>
      <rPr>
        <vertAlign val="superscript"/>
        <sz val="9"/>
        <rFont val="Arial"/>
        <family val="2"/>
      </rPr>
      <t>2</t>
    </r>
    <r>
      <rPr>
        <sz val="9"/>
        <rFont val="Arial"/>
        <family val="2"/>
      </rPr>
      <t xml:space="preserve"> determined biodosimetrically</t>
    </r>
  </si>
  <si>
    <r>
      <t>UV-dose 25 mJ/cm</t>
    </r>
    <r>
      <rPr>
        <vertAlign val="superscript"/>
        <sz val="9"/>
        <rFont val="Arial"/>
        <family val="2"/>
      </rPr>
      <t>2</t>
    </r>
    <r>
      <rPr>
        <sz val="9"/>
        <rFont val="Arial"/>
        <family val="2"/>
      </rPr>
      <t xml:space="preserve"> calculated biodosimetrically</t>
    </r>
  </si>
  <si>
    <t>Select the category for maximum disabling UV disinfection in the drop-down menu below (by placing your arrow in the cell below you will get the help menu):</t>
  </si>
  <si>
    <r>
      <t xml:space="preserve">Lack of actions provides maximum </t>
    </r>
    <r>
      <rPr>
        <b/>
        <sz val="11"/>
        <rFont val="Arial"/>
        <family val="2"/>
      </rPr>
      <t xml:space="preserve">deduction of: </t>
    </r>
  </si>
  <si>
    <t>Automatic shutting down of all water production (requires sufficient equalizing volume in the system)</t>
  </si>
  <si>
    <t>Alarm and automatic start-up of reserve disinfection - for instance chlorination facility</t>
  </si>
  <si>
    <t>UPS installed</t>
  </si>
  <si>
    <t>Back-up generator installed</t>
  </si>
  <si>
    <t>Documentation of good and reliable power supply</t>
  </si>
  <si>
    <t>Several UV-reactors designed and installed in such a way that full supply may be maintained at lapse of one</t>
  </si>
  <si>
    <t>Separate flow measurement for each UV-reactor to secure good hydraulic control</t>
  </si>
  <si>
    <t>Control sensors (UV intensity, UV-transmission etc.) correctly located</t>
  </si>
  <si>
    <t xml:space="preserve">Equalization volume located after UV-plant </t>
  </si>
  <si>
    <t>Reserve disinfection plant installed for instance chlorination facility</t>
  </si>
  <si>
    <t>Automatic shutting down of all water production if operation is outside validation range</t>
  </si>
  <si>
    <t>Alarm if the operation is outside validation range</t>
  </si>
  <si>
    <t>Satisfactory routines for cleaning, control and calibration of sensors</t>
  </si>
  <si>
    <t xml:space="preserve">Figure 3.6 Reduction (in %) of calculated log-credit for UV-disinfection because of low UV-transmission in incoming water to UV plant and UV-transmission design. </t>
  </si>
  <si>
    <t>According to Figure 3.6, this gives a reduction factor of:</t>
  </si>
  <si>
    <t>Log-credit for UV-disinfection including deductions. Transfers to summary.</t>
  </si>
  <si>
    <t>If UV-transmission of incoming water is lower than UV-plant is designed for, the log reduction shall be reduced (Figure 3.6):</t>
  </si>
  <si>
    <r>
      <t>UV-units designed UV-transmission per. 5 cm (UVT</t>
    </r>
    <r>
      <rPr>
        <vertAlign val="subscript"/>
        <sz val="11"/>
        <color theme="1"/>
        <rFont val="Arial"/>
        <family val="2"/>
      </rPr>
      <t>50</t>
    </r>
    <r>
      <rPr>
        <sz val="11"/>
        <color theme="1"/>
        <rFont val="Arial"/>
        <family val="2"/>
      </rPr>
      <t>)</t>
    </r>
  </si>
  <si>
    <t>Maximum log-reduction for approved UV plants at varying UV-dose:</t>
  </si>
  <si>
    <t>Log-credit for UV-disinfection</t>
  </si>
  <si>
    <t>Log-credit for Chlorine-disinfection</t>
  </si>
  <si>
    <t>Log-credit for Chlorine dioxide-disinfection</t>
  </si>
  <si>
    <t>CHLORINE</t>
  </si>
  <si>
    <t>Enter TOC value in the water being chlorinated - highest value</t>
  </si>
  <si>
    <r>
      <t>Enter normal chlorine dosage (C</t>
    </r>
    <r>
      <rPr>
        <vertAlign val="subscript"/>
        <sz val="12"/>
        <rFont val="Arial"/>
        <family val="2"/>
      </rPr>
      <t>dose</t>
    </r>
    <r>
      <rPr>
        <sz val="12"/>
        <rFont val="Arial"/>
        <family val="2"/>
      </rPr>
      <t>)</t>
    </r>
  </si>
  <si>
    <r>
      <t>Enter event. measured residual chlorine level after chlorine contact tank (C</t>
    </r>
    <r>
      <rPr>
        <vertAlign val="subscript"/>
        <sz val="12"/>
        <rFont val="Arial"/>
        <family val="2"/>
      </rPr>
      <t>ut</t>
    </r>
    <r>
      <rPr>
        <sz val="12"/>
        <rFont val="Arial"/>
        <family val="2"/>
      </rPr>
      <t xml:space="preserve">) </t>
    </r>
  </si>
  <si>
    <t>minutes</t>
  </si>
  <si>
    <t xml:space="preserve">Parasites of the </t>
  </si>
  <si>
    <t>Giardia group</t>
  </si>
  <si>
    <t>Parasites of the</t>
  </si>
  <si>
    <r>
      <t>Cryptosporidium</t>
    </r>
    <r>
      <rPr>
        <b/>
        <sz val="9"/>
        <rFont val="Arial"/>
        <family val="2"/>
      </rPr>
      <t xml:space="preserve"> </t>
    </r>
    <r>
      <rPr>
        <b/>
        <i/>
        <sz val="9"/>
        <rFont val="Arial"/>
        <family val="2"/>
      </rPr>
      <t>group</t>
    </r>
  </si>
  <si>
    <t>Required Ct-values (mg·min/l) for inactivation of bacteria, virus and parasites (Table 3.1)</t>
  </si>
  <si>
    <t>Recommended values for hydraulic factor and serial factor at various mixing conditions (Table 3.2). Chose YES for selected mixing condition and description of each chamber in contact tank:</t>
  </si>
  <si>
    <t>Mixing condition (extent of plug flow (PF) in each chamber</t>
  </si>
  <si>
    <t>Select
(only one option)</t>
  </si>
  <si>
    <r>
      <t>Hydraulic factor F</t>
    </r>
    <r>
      <rPr>
        <b/>
        <vertAlign val="subscript"/>
        <sz val="11"/>
        <rFont val="Arial"/>
        <family val="2"/>
      </rPr>
      <t>h</t>
    </r>
  </si>
  <si>
    <t>Description of each chamber in contact tank</t>
  </si>
  <si>
    <r>
      <t>Serial factor F</t>
    </r>
    <r>
      <rPr>
        <b/>
        <vertAlign val="subscript"/>
        <sz val="11"/>
        <rFont val="Arial"/>
        <family val="2"/>
      </rPr>
      <t>s</t>
    </r>
  </si>
  <si>
    <t>Chambers in series (only one option)</t>
  </si>
  <si>
    <t>No PF (complete mixing)</t>
  </si>
  <si>
    <t>Poor PF</t>
  </si>
  <si>
    <t>Average PF</t>
  </si>
  <si>
    <t>Quite good PF</t>
  </si>
  <si>
    <t>Very good PF</t>
  </si>
  <si>
    <t>Perfect PF</t>
  </si>
  <si>
    <r>
      <t>No baffles, agitated tank, high in- and out- velocities, low length/width ratio in tank (</t>
    </r>
    <r>
      <rPr>
        <sz val="9"/>
        <rFont val="Calibri"/>
        <family val="2"/>
      </rPr>
      <t>≤</t>
    </r>
    <r>
      <rPr>
        <sz val="9"/>
        <rFont val="Arial"/>
        <family val="2"/>
      </rPr>
      <t>1)</t>
    </r>
  </si>
  <si>
    <t>Baffled inlet or outlet, some baffles inside tank and possibly multiple inlets and outlets. Length/width ratio in tank &gt;4.</t>
  </si>
  <si>
    <t>No baffles inside tank, single or multiple inlets and outlets in tank, length/width ratio in tank &gt; 1</t>
  </si>
  <si>
    <t>Baffled inlet, serpentine or perforated plate baffles inside tank. High length/width ratio (&gt;10).</t>
  </si>
  <si>
    <t>Baffled inlet serpentine baffles inside tank to increase length/width ratio to &gt;6.</t>
  </si>
  <si>
    <t>Very high length/width ratio (&gt;20). Pipeline flow</t>
  </si>
  <si>
    <r>
      <t>Hydraulic factor, F</t>
    </r>
    <r>
      <rPr>
        <vertAlign val="subscript"/>
        <sz val="11"/>
        <rFont val="Arial"/>
        <family val="2"/>
      </rPr>
      <t>h</t>
    </r>
    <r>
      <rPr>
        <sz val="11"/>
        <rFont val="Arial"/>
        <family val="2"/>
      </rPr>
      <t xml:space="preserve"> based on t</t>
    </r>
    <r>
      <rPr>
        <vertAlign val="subscript"/>
        <sz val="11"/>
        <rFont val="Arial"/>
        <family val="2"/>
      </rPr>
      <t>10</t>
    </r>
    <r>
      <rPr>
        <sz val="11"/>
        <rFont val="Arial"/>
        <family val="2"/>
      </rPr>
      <t>/T</t>
    </r>
  </si>
  <si>
    <r>
      <t>Hydraulic factor, F</t>
    </r>
    <r>
      <rPr>
        <vertAlign val="subscript"/>
        <sz val="11"/>
        <rFont val="Arial"/>
        <family val="2"/>
      </rPr>
      <t>h</t>
    </r>
    <r>
      <rPr>
        <sz val="11"/>
        <rFont val="Arial"/>
        <family val="2"/>
      </rPr>
      <t xml:space="preserve"> based on t</t>
    </r>
    <r>
      <rPr>
        <vertAlign val="subscript"/>
        <sz val="11"/>
        <rFont val="Arial"/>
        <family val="2"/>
      </rPr>
      <t>m</t>
    </r>
    <r>
      <rPr>
        <sz val="11"/>
        <rFont val="Arial"/>
        <family val="2"/>
      </rPr>
      <t>/T</t>
    </r>
  </si>
  <si>
    <r>
      <t>Serial factor, F</t>
    </r>
    <r>
      <rPr>
        <vertAlign val="subscript"/>
        <sz val="11"/>
        <rFont val="Arial"/>
        <family val="2"/>
      </rPr>
      <t>s</t>
    </r>
  </si>
  <si>
    <r>
      <t>Effective residence time t</t>
    </r>
    <r>
      <rPr>
        <b/>
        <vertAlign val="subscript"/>
        <sz val="11"/>
        <rFont val="Arial"/>
        <family val="2"/>
      </rPr>
      <t>eff</t>
    </r>
    <r>
      <rPr>
        <b/>
        <sz val="11"/>
        <rFont val="Arial"/>
        <family val="2"/>
      </rPr>
      <t xml:space="preserve"> based on t</t>
    </r>
    <r>
      <rPr>
        <b/>
        <vertAlign val="subscript"/>
        <sz val="11"/>
        <rFont val="Arial"/>
        <family val="2"/>
      </rPr>
      <t>10</t>
    </r>
    <r>
      <rPr>
        <b/>
        <sz val="11"/>
        <rFont val="Arial"/>
        <family val="2"/>
      </rPr>
      <t>/T</t>
    </r>
  </si>
  <si>
    <r>
      <t>Effective residence time t</t>
    </r>
    <r>
      <rPr>
        <b/>
        <vertAlign val="subscript"/>
        <sz val="11"/>
        <rFont val="Arial"/>
        <family val="2"/>
      </rPr>
      <t>eff</t>
    </r>
    <r>
      <rPr>
        <b/>
        <sz val="11"/>
        <rFont val="Arial"/>
        <family val="2"/>
      </rPr>
      <t xml:space="preserve"> based on t</t>
    </r>
    <r>
      <rPr>
        <b/>
        <vertAlign val="subscript"/>
        <sz val="11"/>
        <rFont val="Arial"/>
        <family val="2"/>
      </rPr>
      <t>m</t>
    </r>
    <r>
      <rPr>
        <b/>
        <sz val="11"/>
        <rFont val="Arial"/>
        <family val="2"/>
      </rPr>
      <t>/T</t>
    </r>
  </si>
  <si>
    <t xml:space="preserve">Method to determine the IC and k </t>
  </si>
  <si>
    <r>
      <t xml:space="preserve">IC </t>
    </r>
    <r>
      <rPr>
        <sz val="10"/>
        <rFont val="Arial"/>
        <family val="2"/>
      </rPr>
      <t>(initial consumption)</t>
    </r>
    <r>
      <rPr>
        <sz val="12"/>
        <rFont val="Arial"/>
        <family val="2"/>
      </rPr>
      <t xml:space="preserve"> *</t>
    </r>
  </si>
  <si>
    <r>
      <t>C</t>
    </r>
    <r>
      <rPr>
        <vertAlign val="subscript"/>
        <sz val="12"/>
        <rFont val="Arial"/>
        <family val="2"/>
      </rPr>
      <t>in</t>
    </r>
  </si>
  <si>
    <r>
      <t xml:space="preserve">k </t>
    </r>
    <r>
      <rPr>
        <sz val="10"/>
        <rFont val="Arial"/>
        <family val="2"/>
      </rPr>
      <t>(degradation constant)</t>
    </r>
  </si>
  <si>
    <t>Ct-value</t>
  </si>
  <si>
    <t>* If both chlorine and chlorine dioxide is used for disinfection, the initial consumption (IC) must be adjusted as follows:</t>
  </si>
  <si>
    <t>Log-credit for chlorine disinfection before potential deductions</t>
  </si>
  <si>
    <t>Maximum log-credit</t>
  </si>
  <si>
    <t xml:space="preserve">Used log-credit before deduction </t>
  </si>
  <si>
    <t>through model calculation (Cdose, TOC)</t>
  </si>
  <si>
    <t>Automatic shutdown of all water production</t>
  </si>
  <si>
    <t>Alarm and automatic start of dosing equipment in reserve</t>
  </si>
  <si>
    <t>Influence on log reduction</t>
  </si>
  <si>
    <t>% of the Ct-calculated Log-reduction</t>
  </si>
  <si>
    <t>Action to reduce risk of dosing failure</t>
  </si>
  <si>
    <t>Back-up generator and/or UPS installed</t>
  </si>
  <si>
    <t>Equalization volume that may satisfy the water need when water production is stopped at dosing failures</t>
  </si>
  <si>
    <t>Maximum deduction in category A:</t>
  </si>
  <si>
    <t>Maximum deduction in category B:</t>
  </si>
  <si>
    <t>Maximum deduction in category C:</t>
  </si>
  <si>
    <r>
      <rPr>
        <sz val="11"/>
        <rFont val="Arial"/>
        <family val="2"/>
      </rPr>
      <t>Lack of actions provides</t>
    </r>
    <r>
      <rPr>
        <b/>
        <sz val="11"/>
        <rFont val="Arial"/>
        <family val="2"/>
      </rPr>
      <t xml:space="preserve"> maximum deduction of: </t>
    </r>
  </si>
  <si>
    <t xml:space="preserve">Satisfactory monitoring system installed </t>
  </si>
  <si>
    <t>Satisfactory routines for cleaning, control and calibration of sensors for monitoring of residual chlorine</t>
  </si>
  <si>
    <t>Other actions</t>
  </si>
  <si>
    <t>Satisfactory routines for cleaning, control and calibration of sensors for monitoring of residual ozone</t>
  </si>
  <si>
    <t>Log-credit before deduction:</t>
  </si>
  <si>
    <t>Reduction in log-credit because or missing actions (A + B + C):</t>
  </si>
  <si>
    <t>Log-credit for chlorine disinfection including deductions. Transfers to summary.</t>
  </si>
  <si>
    <t>Log-credit for chlorine dioxide disinfection including deductions. Transfers to summary.</t>
  </si>
  <si>
    <t>Log-credit for chlorine dioxide disinfection before potential deductions</t>
  </si>
  <si>
    <t>Chlorine dioxide</t>
  </si>
  <si>
    <r>
      <t>Enter event. measured chlorine level at inlet to chlorine contact tank (C</t>
    </r>
    <r>
      <rPr>
        <vertAlign val="subscript"/>
        <sz val="12"/>
        <rFont val="Arial"/>
        <family val="2"/>
      </rPr>
      <t>in</t>
    </r>
    <r>
      <rPr>
        <sz val="12"/>
        <rFont val="Arial"/>
        <family val="2"/>
      </rPr>
      <t xml:space="preserve">) </t>
    </r>
  </si>
  <si>
    <r>
      <t>Enter event. measured chlorine level at inlet to ozone reaction chamber (C</t>
    </r>
    <r>
      <rPr>
        <vertAlign val="subscript"/>
        <sz val="12"/>
        <rFont val="Arial"/>
        <family val="2"/>
      </rPr>
      <t>in</t>
    </r>
    <r>
      <rPr>
        <sz val="12"/>
        <rFont val="Arial"/>
        <family val="2"/>
      </rPr>
      <t xml:space="preserve">) </t>
    </r>
  </si>
  <si>
    <r>
      <t>Enter event. measured residual ozone level after ozone reaction chamber (C</t>
    </r>
    <r>
      <rPr>
        <vertAlign val="subscript"/>
        <sz val="12"/>
        <rFont val="Arial"/>
        <family val="2"/>
      </rPr>
      <t>out</t>
    </r>
    <r>
      <rPr>
        <sz val="12"/>
        <rFont val="Arial"/>
        <family val="2"/>
      </rPr>
      <t xml:space="preserve">) </t>
    </r>
  </si>
  <si>
    <r>
      <t>Enter event. measured residual chlorine level after chlorine contact tank (C</t>
    </r>
    <r>
      <rPr>
        <vertAlign val="subscript"/>
        <sz val="12"/>
        <rFont val="Arial"/>
        <family val="2"/>
      </rPr>
      <t>out</t>
    </r>
    <r>
      <rPr>
        <sz val="12"/>
        <rFont val="Arial"/>
        <family val="2"/>
      </rPr>
      <t xml:space="preserve">) </t>
    </r>
  </si>
  <si>
    <t>Enter TOC value in the water being treated with ozone - highest value</t>
  </si>
  <si>
    <r>
      <t>Enter ozone dosage (C</t>
    </r>
    <r>
      <rPr>
        <vertAlign val="subscript"/>
        <sz val="12"/>
        <rFont val="Arial"/>
        <family val="2"/>
      </rPr>
      <t>dose</t>
    </r>
    <r>
      <rPr>
        <sz val="12"/>
        <rFont val="Arial"/>
        <family val="2"/>
      </rPr>
      <t>)</t>
    </r>
  </si>
  <si>
    <t>Enter pH value in the water being treated with ozone - normal value</t>
  </si>
  <si>
    <t>Ozone</t>
  </si>
  <si>
    <r>
      <t>(t</t>
    </r>
    <r>
      <rPr>
        <vertAlign val="subscript"/>
        <sz val="12"/>
        <rFont val="Arial"/>
        <family val="2"/>
      </rPr>
      <t>eff</t>
    </r>
    <r>
      <rPr>
        <sz val="12"/>
        <rFont val="Arial"/>
        <family val="2"/>
      </rPr>
      <t xml:space="preserve"> based on t</t>
    </r>
    <r>
      <rPr>
        <vertAlign val="subscript"/>
        <sz val="12"/>
        <rFont val="Arial"/>
        <family val="2"/>
      </rPr>
      <t>10</t>
    </r>
    <r>
      <rPr>
        <sz val="12"/>
        <rFont val="Arial"/>
        <family val="2"/>
      </rPr>
      <t>/T)</t>
    </r>
  </si>
  <si>
    <t xml:space="preserve">Calculated inactivation degree                               (log-reduction) </t>
  </si>
  <si>
    <t>&gt; 60 days</t>
  </si>
  <si>
    <t>30 - 60 days</t>
  </si>
  <si>
    <t>15 - 30 days</t>
  </si>
  <si>
    <t>3 - 15 days</t>
  </si>
  <si>
    <t>Log-credit for infiltration of surface water. Transfers to summary.</t>
  </si>
  <si>
    <t>Hygienic barriers before disinfection</t>
  </si>
  <si>
    <t>Groundwater log-credit</t>
  </si>
  <si>
    <t>Infiltration of surface water</t>
  </si>
  <si>
    <t>Water treatment process 1</t>
  </si>
  <si>
    <t>Water treatment process 2</t>
  </si>
  <si>
    <t>UV-disinfection</t>
  </si>
  <si>
    <t>Chlorine-disinfection</t>
  </si>
  <si>
    <t>Ozone-disinfection</t>
  </si>
  <si>
    <t>Barrier status</t>
  </si>
  <si>
    <t>SUMMARY</t>
  </si>
  <si>
    <t>Chlorine dioxide-disinfection</t>
  </si>
  <si>
    <t>Retrieved from UV sheet</t>
  </si>
  <si>
    <t>Retrieved from Chlorine sheet</t>
  </si>
  <si>
    <t>Retrieved from Ozone sheet</t>
  </si>
  <si>
    <t>Retrieved from Lakes and catchments sheet</t>
  </si>
  <si>
    <t>Retrieved from Groundwater sheet</t>
  </si>
  <si>
    <t>Retrieved from Infiltration sheet</t>
  </si>
  <si>
    <t>Retrieved from Water treatment beyond disinfection (process 1) sheet</t>
  </si>
  <si>
    <t>Retrieved from Water treatment beyond disinfection (process 2) sheet</t>
  </si>
  <si>
    <t>Retrieved from Start sheet</t>
  </si>
  <si>
    <t>Necessary log reduction in final disinfection</t>
  </si>
  <si>
    <t>Effect of disinfection barriers</t>
  </si>
  <si>
    <t xml:space="preserve">Negative values show that the water treatment plant does not have sufficient barriers and that the measures must be implemented.  </t>
  </si>
  <si>
    <t>It is assumed that the user of this Excel-based model is familiar with MBA report 202/2014.</t>
  </si>
  <si>
    <t>The model is mostly based on YES and NO questions. Predefined choices have been made in the model that appear as a possible selection, when the cursor is placed in a cell.</t>
  </si>
  <si>
    <t>Raw water quality of a water source can be determined by using the table below (Table 2.2 from the report 202/2014). This is based on historical raw water quality data (see the figure above). If there is discharge of purified or uncleaned wastewater into the drinking water source, the source is directly categorized as category D (Da,Db or Dc). Along with the size of the water treatment plant, you find the necessary barrier level.</t>
  </si>
  <si>
    <t>Required barrier level should be written in the cells bellow - and it is then transferred to the summary sheet:</t>
  </si>
  <si>
    <t>Implementation of closed sewage systems (closed tank) for all sewage effluents in the catchment area, or watertight sewage systems bringing sewage out of the catchment area</t>
  </si>
  <si>
    <t>Introducing a ban (or restrictions) on keeping grazing farm animals in the catchment area</t>
  </si>
  <si>
    <t>Moving the raw water intake to such a position that it can be documented through hydraulic studies that fecal pollution from sewage and animals does not affect the water quality at the intake</t>
  </si>
  <si>
    <t>- manually close raw water supply</t>
  </si>
  <si>
    <t>- shift to another water source when exceeding the set point (alarm value)</t>
  </si>
  <si>
    <t>Introducing a ban on all form of agricultural activity including grass production, fertilizing, use of pesticides and use of the zone (or parts of it) as grazing land for farm animals</t>
  </si>
  <si>
    <t>Protection of the well with a well-house with water-tight floor and sealing around the well pipe</t>
  </si>
  <si>
    <t>Absolute maximum summarized log-credit for improved sampling and on-line monitoring of raw water quality                       (Maximum summarized values are 0.75b + 0.75v + 0.50p.)</t>
  </si>
  <si>
    <t>Sum of log-credit for new actions connected to groundwater sources, sampling and on-line monitoring of raw water quality.                                                               (Maximum summarized values are 2,0b + 2,0v + 1,25p.) Transfers to summary.</t>
  </si>
  <si>
    <t>Log-credit for water quality improvement through artificial infiltration of surface water (Table 2.6)</t>
  </si>
  <si>
    <t xml:space="preserve">Artificial surface water infiltration improves the water quality depending on the water's residence time in the soil. The raw water quality is based on the quality of surface water and gives a specific log-credit for infiltration. This can also be used for natural infiltration of surface water into the soil. It is assumed that the residence time in the saturated and unsaturated zone can be determined by hydrogeological research. </t>
  </si>
  <si>
    <t xml:space="preserve">Log-credit for artificial (or natural) surface water infiltration, based on the infiltrated water residence time in saturated and unsaturated zone. Select only one option from the YES/NO list. </t>
  </si>
  <si>
    <t>Rapid sand filtration without coagulation &lt; 7,5 m/h
(also valid for: biofilters, ion exchange filters, activated carbon filters and calcium carbonate filters)</t>
  </si>
  <si>
    <t>Coagulation + sedimentation (or flotation) + filtration - provided turbidity in produced water &lt; 0,2 NTU</t>
  </si>
  <si>
    <t>Coagulation + sedimentation (or flotation) + filtration - provided turbidity in produced water &lt; 0,1 NTU</t>
  </si>
  <si>
    <t>Coagulation - direct filtration (media-filter) - provided turbidity in produced water &lt; 0,1 NTU</t>
  </si>
  <si>
    <t>Deduction of the log-credit for lack of operation control monitoring actions (Table 2.9)</t>
  </si>
  <si>
    <r>
      <t xml:space="preserve">b) is present, activating an alarm when over-shooting a set-point (alarm value) leading to </t>
    </r>
    <r>
      <rPr>
        <u/>
        <sz val="11"/>
        <rFont val="Arial"/>
        <family val="2"/>
      </rPr>
      <t>manual correction</t>
    </r>
    <r>
      <rPr>
        <sz val="11"/>
        <rFont val="Arial"/>
        <family val="2"/>
      </rPr>
      <t xml:space="preserve"> of process conditions (e.g. adjustments of pH, coagulant dose etc.) so that normal operation is restored</t>
    </r>
  </si>
  <si>
    <r>
      <t xml:space="preserve">c) is present, activating an alarm when over-shooting a set-point (alarm value) leading to </t>
    </r>
    <r>
      <rPr>
        <u/>
        <sz val="11"/>
        <rFont val="Arial"/>
        <family val="2"/>
      </rPr>
      <t>manual closing</t>
    </r>
    <r>
      <rPr>
        <sz val="11"/>
        <rFont val="Arial"/>
        <family val="2"/>
      </rPr>
      <t xml:space="preserve"> of raw water supply until the cause of abnormality is found and normal operation is restored</t>
    </r>
  </si>
  <si>
    <r>
      <t xml:space="preserve">d) is present, activating an alarm when over-shooting a set-point (alarm value) leading to </t>
    </r>
    <r>
      <rPr>
        <u/>
        <sz val="11"/>
        <rFont val="Arial"/>
        <family val="2"/>
      </rPr>
      <t>automatic closing</t>
    </r>
    <r>
      <rPr>
        <sz val="11"/>
        <rFont val="Arial"/>
        <family val="2"/>
      </rPr>
      <t xml:space="preserve"> of raw water supply until the cause of abnormality is found and normal operation is restored</t>
    </r>
  </si>
  <si>
    <r>
      <t xml:space="preserve">d) is present, activating an alarm leading to </t>
    </r>
    <r>
      <rPr>
        <u/>
        <sz val="11"/>
        <rFont val="Arial"/>
        <family val="2"/>
      </rPr>
      <t>manual start-up</t>
    </r>
    <r>
      <rPr>
        <sz val="11"/>
        <rFont val="Arial"/>
        <family val="2"/>
      </rPr>
      <t xml:space="preserve"> of emergency el-supply generator and/or UPS at failure of electricity supply</t>
    </r>
  </si>
  <si>
    <t>Special cases (Table 3.9):</t>
  </si>
  <si>
    <t>Virus excl. Adenovirus</t>
  </si>
  <si>
    <t>Actions for temporary failure or reduced effect of the UV-irradiation:</t>
  </si>
  <si>
    <t>Actions to reduce the risk of temporary failure or reduced effect of the UV-irradiation:</t>
  </si>
  <si>
    <t>A storage of critical reserve equipment (quartz-pipes, lamps, o-rings, wipers, wiper driving gear, ballasts, ballast fan, UV sensors and UV-transmissions sensors)</t>
  </si>
  <si>
    <t>Automatic shutting down of all water production if operation in connection with start-up</t>
  </si>
  <si>
    <t>Good dose control</t>
  </si>
  <si>
    <t>Documentation of operation in terms of duration curves (curves that display calculated dose as a function of time)</t>
  </si>
  <si>
    <t xml:space="preserve">Log-reduction when using chlorine disinfection method: </t>
  </si>
  <si>
    <t xml:space="preserve">Log-reduction when using chlorine dioxide disinfection method: </t>
  </si>
  <si>
    <t xml:space="preserve">Log-reduction when using ozone disinfection method: </t>
  </si>
  <si>
    <t>Select conditions for disinfection from the dropdown menu below (by placing the arrow in the cell below you will get the help menu):</t>
  </si>
  <si>
    <t>Water treatment plants barrier status. Summary is based on previously filled out sheet (automatically transferred).</t>
  </si>
  <si>
    <t>Lakes and catchments areas log-credit</t>
  </si>
  <si>
    <t>Cryptosporidium</t>
  </si>
  <si>
    <t>Effective residence time in the chlorine contact tank                                             (calculated from the table 3.2 and theoretical residence time)</t>
  </si>
  <si>
    <t>Chose a method to calculate the Ct-value by using the dropdown menu             (placing the arrow in the gray cell brings up the dropdown menu):</t>
  </si>
  <si>
    <t>Effective residence time in the chlorine contact tank                                            (calculated from the table 3.2 and theoretical residence time)</t>
  </si>
  <si>
    <t>Retrieved from Chlorine dioxide sheet</t>
  </si>
  <si>
    <t>Does not have UV disinfection</t>
  </si>
  <si>
    <t>pH &lt; 7 and temperature 4ºC</t>
  </si>
  <si>
    <t>pH 7 - 8 and temperature 4ºC</t>
  </si>
  <si>
    <t>pH &gt; 8 and temperature 4ºC</t>
  </si>
  <si>
    <t>pH &lt; 7 and temperature 0,5ºC</t>
  </si>
  <si>
    <t>pH 7 - 8 and temperature 0,5ºC</t>
  </si>
  <si>
    <t>pH &gt; 8 and temperature 0,5ºC</t>
  </si>
  <si>
    <t xml:space="preserve">Table 3.1 Required Ct-values (mg min/l) for inactivation of bacteria, virus and parasites </t>
  </si>
  <si>
    <t>Reduced inactivation rate because of missing implemented measures:</t>
  </si>
  <si>
    <r>
      <t>UV-transmission per. 5 cm of incoming water / water after failure in previous particle removal step (UVT</t>
    </r>
    <r>
      <rPr>
        <vertAlign val="subscript"/>
        <sz val="11"/>
        <color theme="1"/>
        <rFont val="Arial"/>
        <family val="2"/>
      </rPr>
      <t>50</t>
    </r>
    <r>
      <rPr>
        <sz val="11"/>
        <color theme="1"/>
        <rFont val="Arial"/>
        <family val="2"/>
      </rPr>
      <t>)</t>
    </r>
  </si>
  <si>
    <t>n.s. - not stated. The Ct-value is si high that it is of no interest for all practical purposes</t>
  </si>
  <si>
    <r>
      <t>t</t>
    </r>
    <r>
      <rPr>
        <b/>
        <vertAlign val="subscript"/>
        <sz val="11"/>
        <rFont val="Arial"/>
        <family val="2"/>
      </rPr>
      <t>m</t>
    </r>
    <r>
      <rPr>
        <b/>
        <sz val="11"/>
        <rFont val="Arial"/>
        <family val="2"/>
      </rPr>
      <t>/T</t>
    </r>
    <r>
      <rPr>
        <b/>
        <vertAlign val="superscript"/>
        <sz val="11"/>
        <rFont val="Arial"/>
        <family val="2"/>
      </rPr>
      <t>2)</t>
    </r>
  </si>
  <si>
    <t xml:space="preserve">2) To be used in calculation of k, Ci, Cout (see section 3.4.2 and section 3.7.2-3.7.3 in the report 202/2014) </t>
  </si>
  <si>
    <r>
      <t>t</t>
    </r>
    <r>
      <rPr>
        <b/>
        <vertAlign val="subscript"/>
        <sz val="11"/>
        <rFont val="Arial"/>
        <family val="2"/>
      </rPr>
      <t>10</t>
    </r>
    <r>
      <rPr>
        <b/>
        <sz val="11"/>
        <rFont val="Arial"/>
        <family val="2"/>
      </rPr>
      <t>/T</t>
    </r>
    <r>
      <rPr>
        <b/>
        <vertAlign val="superscript"/>
        <sz val="11"/>
        <rFont val="Arial"/>
        <family val="2"/>
      </rPr>
      <t>1)</t>
    </r>
  </si>
  <si>
    <t>Log-credit for ozone disinfection before potential deductions</t>
  </si>
  <si>
    <r>
      <rPr>
        <b/>
        <sz val="11"/>
        <rFont val="Arial"/>
        <family val="2"/>
      </rPr>
      <t xml:space="preserve">Note: </t>
    </r>
    <r>
      <rPr>
        <sz val="11"/>
        <rFont val="Arial"/>
        <family val="2"/>
      </rPr>
      <t>A separate Ct-value for contact volume and reaction volume is not calculated here</t>
    </r>
  </si>
  <si>
    <t>Recommended values for hydraulic factor and serial factor at various mixing conditions (Table 3.2 and 3.3). Chose YES for selected mixing condition and description of each chamber in contact tank:</t>
  </si>
  <si>
    <t>Open columns- With gas bubbles present</t>
  </si>
  <si>
    <t>Open columns- Without gas bubbles present</t>
  </si>
  <si>
    <t>Packed columns- With gas bubbles present</t>
  </si>
  <si>
    <t>Packed columns- Without gas bubbles present</t>
  </si>
  <si>
    <r>
      <t>k</t>
    </r>
    <r>
      <rPr>
        <b/>
        <vertAlign val="subscript"/>
        <sz val="11"/>
        <rFont val="Times New Roman"/>
        <family val="1"/>
      </rPr>
      <t>transfer</t>
    </r>
  </si>
  <si>
    <t>Contacting system</t>
  </si>
  <si>
    <t>Diffuser/injector mixing, packed contact tank</t>
  </si>
  <si>
    <t>Diffuser/injector mixing, contact tank without packing</t>
  </si>
  <si>
    <t>Injector mixing in pipe proceeded by closed ppeline contact tank</t>
  </si>
  <si>
    <r>
      <t>* Recommended values for the ozone transfer constant, k</t>
    </r>
    <r>
      <rPr>
        <vertAlign val="subscript"/>
        <sz val="11"/>
        <rFont val="Arial"/>
        <family val="2"/>
      </rPr>
      <t>transfer</t>
    </r>
    <r>
      <rPr>
        <sz val="11"/>
        <rFont val="Arial"/>
        <family val="2"/>
      </rPr>
      <t>.</t>
    </r>
  </si>
  <si>
    <r>
      <t>Enter ozone transfer constant (k</t>
    </r>
    <r>
      <rPr>
        <vertAlign val="subscript"/>
        <sz val="12"/>
        <rFont val="Arial"/>
        <family val="2"/>
      </rPr>
      <t>transfer</t>
    </r>
    <r>
      <rPr>
        <sz val="12"/>
        <rFont val="Arial"/>
        <family val="2"/>
      </rPr>
      <t>) - See the table below *</t>
    </r>
  </si>
  <si>
    <t>Input data:
This is information about own operations that are taken in consideration to be able to perform calculations</t>
  </si>
  <si>
    <t>Enter theoretical residence time in the chlorine contact tank (T = Q/V)</t>
  </si>
  <si>
    <t>n.s.</t>
  </si>
  <si>
    <t xml:space="preserve">1) To be used in Ct-calculation (see section 3.7.4 in the report 202/2014) </t>
  </si>
  <si>
    <t xml:space="preserve">1) To be used in Ct-calcul+C45:E46ation (see secti+G36on 3.7.4 in the report 202/2014) </t>
  </si>
  <si>
    <t>Theoretical residence time, T=Q/V (min)</t>
  </si>
  <si>
    <t>Calculated values</t>
  </si>
  <si>
    <t xml:space="preserve">Deduction (in %) of the Ct-calculated (or maximum) log-reduction because of safety breaches in chemical disinfection plants as well as credit (in % of log-reduction) for safety actions actually implemented (Table 3.7): </t>
  </si>
  <si>
    <t xml:space="preserve">Action at temporary dosing failure </t>
  </si>
  <si>
    <t>Reserve dosing equipment installed</t>
  </si>
  <si>
    <t>Storage of critical reserve equipment</t>
  </si>
  <si>
    <t>Log-credit for ozone disinfection including deductions.    Transfers to summary.</t>
  </si>
  <si>
    <t>Chose a method to calculate the Ct-value by using the dropdown menu                     (placing the arrow in the gray cell brings up the dropdown menu):</t>
  </si>
  <si>
    <t>Effective residence time in the ozone reaction chamber                                            (calculated from the table 3.2 and theoretical residence time)</t>
  </si>
  <si>
    <r>
      <t>by measurements (C</t>
    </r>
    <r>
      <rPr>
        <vertAlign val="subscript"/>
        <sz val="12"/>
        <rFont val="Calibri"/>
        <family val="2"/>
        <scheme val="minor"/>
      </rPr>
      <t>dose</t>
    </r>
    <r>
      <rPr>
        <sz val="12"/>
        <rFont val="Calibri"/>
        <family val="2"/>
        <scheme val="minor"/>
      </rPr>
      <t>, C</t>
    </r>
    <r>
      <rPr>
        <vertAlign val="subscript"/>
        <sz val="12"/>
        <rFont val="Calibri"/>
        <family val="2"/>
        <scheme val="minor"/>
      </rPr>
      <t>in</t>
    </r>
    <r>
      <rPr>
        <sz val="12"/>
        <rFont val="Calibri"/>
        <family val="2"/>
        <scheme val="minor"/>
      </rPr>
      <t xml:space="preserve"> og C</t>
    </r>
    <r>
      <rPr>
        <vertAlign val="subscript"/>
        <sz val="12"/>
        <rFont val="Calibri"/>
        <family val="2"/>
        <scheme val="minor"/>
      </rPr>
      <t>out</t>
    </r>
    <r>
      <rPr>
        <sz val="12"/>
        <rFont val="Calibri"/>
        <family val="2"/>
        <scheme val="minor"/>
      </rPr>
      <t>)</t>
    </r>
  </si>
  <si>
    <t>through a combination of measurements and calculations (Cdose, Cout og TOC)</t>
  </si>
  <si>
    <r>
      <t>IC</t>
    </r>
    <r>
      <rPr>
        <vertAlign val="subscript"/>
        <sz val="12"/>
        <rFont val="Arial"/>
        <family val="2"/>
      </rPr>
      <t>Chlorine dioxide, adjusted</t>
    </r>
    <r>
      <rPr>
        <sz val="12"/>
        <rFont val="Arial"/>
        <family val="2"/>
      </rPr>
      <t xml:space="preserve"> = (C</t>
    </r>
    <r>
      <rPr>
        <vertAlign val="subscript"/>
        <sz val="12"/>
        <rFont val="Arial"/>
        <family val="2"/>
      </rPr>
      <t>dose, Chlorine dioxide</t>
    </r>
    <r>
      <rPr>
        <sz val="12"/>
        <rFont val="Arial"/>
        <family val="2"/>
      </rPr>
      <t xml:space="preserve"> / (C</t>
    </r>
    <r>
      <rPr>
        <vertAlign val="subscript"/>
        <sz val="12"/>
        <rFont val="Arial"/>
        <family val="2"/>
      </rPr>
      <t>dose, Chlorine dioxide</t>
    </r>
    <r>
      <rPr>
        <sz val="12"/>
        <rFont val="Arial"/>
        <family val="2"/>
      </rPr>
      <t xml:space="preserve"> + C</t>
    </r>
    <r>
      <rPr>
        <vertAlign val="subscript"/>
        <sz val="12"/>
        <rFont val="Arial"/>
        <family val="2"/>
      </rPr>
      <t>dose, Chlorine</t>
    </r>
    <r>
      <rPr>
        <sz val="12"/>
        <rFont val="Arial"/>
        <family val="2"/>
      </rPr>
      <t>)) x IC</t>
    </r>
    <r>
      <rPr>
        <vertAlign val="subscript"/>
        <sz val="12"/>
        <rFont val="Arial"/>
        <family val="2"/>
      </rPr>
      <t>Chlorine dioxide</t>
    </r>
  </si>
  <si>
    <r>
      <t>IC</t>
    </r>
    <r>
      <rPr>
        <vertAlign val="subscript"/>
        <sz val="12"/>
        <rFont val="Arial"/>
        <family val="2"/>
      </rPr>
      <t xml:space="preserve">chlorine, adjusted </t>
    </r>
    <r>
      <rPr>
        <sz val="12"/>
        <rFont val="Arial"/>
        <family val="2"/>
      </rPr>
      <t>= (C</t>
    </r>
    <r>
      <rPr>
        <vertAlign val="subscript"/>
        <sz val="12"/>
        <rFont val="Arial"/>
        <family val="2"/>
      </rPr>
      <t xml:space="preserve">dose, chlorine </t>
    </r>
    <r>
      <rPr>
        <sz val="12"/>
        <rFont val="Arial"/>
        <family val="2"/>
      </rPr>
      <t>/ (C</t>
    </r>
    <r>
      <rPr>
        <vertAlign val="subscript"/>
        <sz val="12"/>
        <rFont val="Arial"/>
        <family val="2"/>
      </rPr>
      <t>dose, chlorine dioxide</t>
    </r>
    <r>
      <rPr>
        <sz val="12"/>
        <rFont val="Arial"/>
        <family val="2"/>
      </rPr>
      <t xml:space="preserve"> + C</t>
    </r>
    <r>
      <rPr>
        <vertAlign val="subscript"/>
        <sz val="12"/>
        <rFont val="Arial"/>
        <family val="2"/>
      </rPr>
      <t>dose, chlorine</t>
    </r>
    <r>
      <rPr>
        <sz val="12"/>
        <rFont val="Arial"/>
        <family val="2"/>
      </rPr>
      <t>)) x IC</t>
    </r>
    <r>
      <rPr>
        <vertAlign val="subscript"/>
        <sz val="12"/>
        <rFont val="Arial"/>
        <family val="2"/>
      </rPr>
      <t>chlorine</t>
    </r>
  </si>
  <si>
    <t xml:space="preserve">Calculated inactivation degree                                   (log-reduction) </t>
  </si>
  <si>
    <t>Enter theoretical residence time in the ozone reaction chamber (T = Q/V)</t>
  </si>
  <si>
    <t>Log-credit for Ozone-disinfection</t>
  </si>
  <si>
    <t xml:space="preserve">The deduction in log-credit can be avoided, if the amount of water that is supplied to the UV-plant is reduced to the point, where the increased UV-dose used results in a sustainable log-reduction, when the upstream treatments, that are supposed to improve the transmission, are out of operation.                                                                                                                                 
                                                                                                                                                                              If the water production is shut down automatically, when the operating conditions in the UV-plant are outside of the operating range that the UV-plant is certified for, then no deduction in log-credit shall be done. </t>
  </si>
  <si>
    <t xml:space="preserve">The Excel-calculation model is prepared by:                                                                              </t>
  </si>
  <si>
    <r>
      <t xml:space="preserve">Asle Aasen, </t>
    </r>
    <r>
      <rPr>
        <sz val="11"/>
        <rFont val="Arial"/>
        <family val="2"/>
      </rPr>
      <t xml:space="preserve">Bergen Vann   </t>
    </r>
    <r>
      <rPr>
        <b/>
        <sz val="11"/>
        <rFont val="Arial"/>
        <family val="2"/>
      </rPr>
      <t xml:space="preserve">                        Svein Forberg Liane, </t>
    </r>
    <r>
      <rPr>
        <sz val="11"/>
        <rFont val="Arial"/>
        <family val="2"/>
      </rPr>
      <t xml:space="preserve">Norconsult  </t>
    </r>
    <r>
      <rPr>
        <b/>
        <sz val="11"/>
        <rFont val="Arial"/>
        <family val="2"/>
      </rPr>
      <t xml:space="preserve">               Jon Brandt, </t>
    </r>
    <r>
      <rPr>
        <sz val="11"/>
        <rFont val="Arial"/>
        <family val="2"/>
      </rPr>
      <t>Asplan Viak</t>
    </r>
  </si>
  <si>
    <r>
      <t xml:space="preserve">Raw water quality – giving us a starting point of the </t>
    </r>
    <r>
      <rPr>
        <b/>
        <sz val="12"/>
        <rFont val="Arial"/>
        <family val="2"/>
      </rPr>
      <t>quality level</t>
    </r>
  </si>
  <si>
    <t>Barrier actions in catchment area and in the water source</t>
  </si>
  <si>
    <t>Water treatment actions beyond the final disinfection</t>
  </si>
  <si>
    <t>Improved monitoring and operation surveillance for the water source and water treatment plant</t>
  </si>
  <si>
    <r>
      <t xml:space="preserve">Point </t>
    </r>
    <r>
      <rPr>
        <b/>
        <sz val="12"/>
        <rFont val="Arial"/>
        <family val="2"/>
      </rPr>
      <t>1</t>
    </r>
    <r>
      <rPr>
        <sz val="12"/>
        <rFont val="Arial"/>
        <family val="2"/>
      </rPr>
      <t xml:space="preserve"> determines the </t>
    </r>
    <r>
      <rPr>
        <b/>
        <sz val="12"/>
        <rFont val="Arial"/>
        <family val="2"/>
      </rPr>
      <t>required barrier level</t>
    </r>
    <r>
      <rPr>
        <sz val="12"/>
        <rFont val="Arial"/>
        <family val="2"/>
      </rPr>
      <t>, that must to be achieved to ensure an adequate hygienic barrier in the entire water treatment plant.</t>
    </r>
  </si>
  <si>
    <r>
      <t xml:space="preserve">By subtracting log-credits from the barrier level required, the </t>
    </r>
    <r>
      <rPr>
        <b/>
        <sz val="12"/>
        <rFont val="Arial"/>
        <family val="2"/>
      </rPr>
      <t>log-reduction</t>
    </r>
    <r>
      <rPr>
        <sz val="12"/>
        <rFont val="Arial"/>
        <family val="2"/>
      </rPr>
      <t xml:space="preserve"> needed, in the final disinfection step or possible new extended water treatment process, may be determined. </t>
    </r>
  </si>
  <si>
    <t>The risk and vulnerability assessment of the system is based on:</t>
  </si>
  <si>
    <t>Erecting fences for the prevention of farm animals, dogs stc. to come in direct contact with the source water and provision of garbage containers (including containers for dog feces) in the catchment area</t>
  </si>
  <si>
    <t>For on-line monitoring of treated water turbidity, color or other parameter suitable for process control:
(NOTE! Only one of the following alternatives in the list below can be chosen)</t>
  </si>
  <si>
    <t>If continuous  monitoring and data transmitting to a control central of electricity supply data:
(NOTE! Only one of the following alternatives in the list below can be chosen)</t>
  </si>
  <si>
    <t xml:space="preserve">Determine the necessary barrier level for water treatment plant, from its raw water source (water quality) and water treatment plants size.
See figure and table below. </t>
  </si>
  <si>
    <t>The required barrier level is defined as the log-reduction in the three microorganism groups (bacteria, viruses and parasites) that must be achieved through barrier actions in the water treatment plant.</t>
  </si>
  <si>
    <r>
      <rPr>
        <b/>
        <sz val="12"/>
        <rFont val="Arial"/>
        <family val="2"/>
      </rPr>
      <t>"Log-credits"</t>
    </r>
    <r>
      <rPr>
        <sz val="12"/>
        <rFont val="Arial"/>
        <family val="2"/>
      </rPr>
      <t xml:space="preserve"> (reductions) may be given for the following actions:</t>
    </r>
  </si>
  <si>
    <t>Water utility size (the size of the water treatment plant)</t>
  </si>
  <si>
    <t>Absolute maximum summarized log-credit for improved sampling and on-line monitoring of raw water quality                       (Maximum summarized values are 0,75b + 0,75v + 0,50p.)</t>
  </si>
  <si>
    <t>Reduction in log-credit for UV-disinfection (in % of maximum log-reduction) because of safety breaches for various main categories of barrier actions, as well as credit (in % of maximum log-reduction) for measures actually implemented in each category (Table 3.10):</t>
  </si>
  <si>
    <t>For groundwater in bedrock: Complete sealing between casing and rock</t>
  </si>
  <si>
    <t>Chose a method to calculate the Ct-value by using the dropdown menu                   (placing the arrow in the gray cell brings up the dropdown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</si>
</sst>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7" x14ac:knownFonts="1">
    <font>
      <sz val="11"/>
      <name val="Times New Roman"/>
    </font>
    <font>
      <sz val="11"/>
      <color theme="1"/>
      <name val="Calibri"/>
      <family val="2"/>
      <scheme val="minor"/>
    </font>
    <font>
      <b/>
      <sz val="11"/>
      <name val="Times New Roman"/>
      <family val="1"/>
    </font>
    <font>
      <sz val="11"/>
      <name val="Times New Roman"/>
      <family val="1"/>
    </font>
    <font>
      <sz val="8"/>
      <name val="Times New Roman"/>
      <family val="1"/>
    </font>
    <font>
      <b/>
      <sz val="10"/>
      <name val="Arial"/>
      <family val="2"/>
    </font>
    <font>
      <b/>
      <sz val="12"/>
      <name val="Arial"/>
      <family val="2"/>
    </font>
    <font>
      <b/>
      <sz val="12"/>
      <name val="Times New Roman"/>
      <family val="1"/>
    </font>
    <font>
      <sz val="11"/>
      <color indexed="81"/>
      <name val="Times New Roman"/>
      <family val="1"/>
    </font>
    <font>
      <b/>
      <sz val="14"/>
      <name val="Arial"/>
      <family val="2"/>
    </font>
    <font>
      <b/>
      <sz val="14"/>
      <name val="Times New Roman"/>
      <family val="1"/>
    </font>
    <font>
      <sz val="11"/>
      <name val="Times New Roman"/>
      <family val="1"/>
    </font>
    <font>
      <sz val="11"/>
      <color indexed="10"/>
      <name val="Times New Roman"/>
      <family val="1"/>
    </font>
    <font>
      <sz val="11"/>
      <color indexed="14"/>
      <name val="Times New Roman"/>
      <family val="1"/>
    </font>
    <font>
      <sz val="10"/>
      <name val="Verdana"/>
      <family val="2"/>
    </font>
    <font>
      <sz val="12"/>
      <name val="Arial"/>
      <family val="2"/>
    </font>
    <font>
      <sz val="11"/>
      <name val="Arial"/>
      <family val="2"/>
    </font>
    <font>
      <b/>
      <sz val="11"/>
      <name val="Arial"/>
      <family val="2"/>
    </font>
    <font>
      <u/>
      <sz val="11"/>
      <color theme="10"/>
      <name val="Times New Roman"/>
      <family val="1"/>
    </font>
    <font>
      <u/>
      <sz val="11"/>
      <color theme="11"/>
      <name val="Times New Roman"/>
      <family val="1"/>
    </font>
    <font>
      <sz val="11"/>
      <color indexed="8"/>
      <name val="Times New Roman"/>
      <family val="1"/>
    </font>
    <font>
      <vertAlign val="superscript"/>
      <sz val="11"/>
      <name val="Times New Roman"/>
      <family val="1"/>
    </font>
    <font>
      <sz val="9"/>
      <name val="Verdana"/>
      <family val="2"/>
    </font>
    <font>
      <b/>
      <sz val="9"/>
      <name val="Verdana"/>
      <family val="2"/>
    </font>
    <font>
      <i/>
      <sz val="10"/>
      <name val="Verdana"/>
      <family val="2"/>
    </font>
    <font>
      <sz val="9"/>
      <name val="Arial"/>
      <family val="2"/>
    </font>
    <font>
      <i/>
      <vertAlign val="subscript"/>
      <sz val="10"/>
      <name val="Verdana"/>
      <family val="2"/>
    </font>
    <font>
      <b/>
      <vertAlign val="subscript"/>
      <sz val="9"/>
      <name val="Verdana"/>
      <family val="2"/>
    </font>
    <font>
      <b/>
      <vertAlign val="superscript"/>
      <sz val="9"/>
      <name val="Verdana"/>
      <family val="2"/>
    </font>
    <font>
      <vertAlign val="superscript"/>
      <sz val="9"/>
      <name val="Arial"/>
      <family val="2"/>
    </font>
    <font>
      <vertAlign val="subscript"/>
      <sz val="9"/>
      <name val="Arial"/>
      <family val="2"/>
    </font>
    <font>
      <sz val="9"/>
      <color indexed="81"/>
      <name val="Tahoma"/>
      <family val="2"/>
    </font>
    <font>
      <b/>
      <sz val="9"/>
      <color indexed="81"/>
      <name val="Tahoma"/>
      <family val="2"/>
    </font>
    <font>
      <b/>
      <sz val="14"/>
      <color theme="1"/>
      <name val="Arial"/>
      <family val="2"/>
    </font>
    <font>
      <b/>
      <vertAlign val="subscript"/>
      <sz val="11"/>
      <name val="Times New Roman"/>
      <family val="1"/>
    </font>
    <font>
      <b/>
      <vertAlign val="superscript"/>
      <sz val="11"/>
      <name val="Times New Roman"/>
      <family val="1"/>
    </font>
    <font>
      <sz val="24"/>
      <name val="Times New Roman"/>
      <family val="1"/>
    </font>
    <font>
      <i/>
      <sz val="12"/>
      <name val="Arial"/>
      <family val="2"/>
    </font>
    <font>
      <sz val="14"/>
      <name val="Arial"/>
      <family val="2"/>
    </font>
    <font>
      <i/>
      <sz val="11"/>
      <name val="Arial"/>
      <family val="2"/>
    </font>
    <font>
      <b/>
      <sz val="9"/>
      <name val="Arial"/>
      <family val="2"/>
    </font>
    <font>
      <sz val="11"/>
      <color indexed="8"/>
      <name val="Arial"/>
      <family val="2"/>
    </font>
    <font>
      <b/>
      <sz val="14"/>
      <color indexed="9"/>
      <name val="Arial"/>
      <family val="2"/>
    </font>
    <font>
      <vertAlign val="superscript"/>
      <sz val="11"/>
      <name val="Arial"/>
      <family val="2"/>
    </font>
    <font>
      <b/>
      <sz val="9"/>
      <color indexed="9"/>
      <name val="Arial"/>
      <family val="2"/>
    </font>
    <font>
      <vertAlign val="subscript"/>
      <sz val="11"/>
      <name val="Arial"/>
      <family val="2"/>
    </font>
    <font>
      <sz val="11"/>
      <color theme="1"/>
      <name val="Arial"/>
      <family val="2"/>
    </font>
    <font>
      <sz val="9"/>
      <color indexed="8"/>
      <name val="Arial"/>
      <family val="2"/>
    </font>
    <font>
      <vertAlign val="subscript"/>
      <sz val="11"/>
      <color theme="1"/>
      <name val="Arial"/>
      <family val="2"/>
    </font>
    <font>
      <b/>
      <i/>
      <sz val="9"/>
      <name val="Arial"/>
      <family val="2"/>
    </font>
    <font>
      <b/>
      <vertAlign val="subscript"/>
      <sz val="11"/>
      <name val="Arial"/>
      <family val="2"/>
    </font>
    <font>
      <vertAlign val="subscript"/>
      <sz val="12"/>
      <name val="Arial"/>
      <family val="2"/>
    </font>
    <font>
      <b/>
      <i/>
      <sz val="16"/>
      <name val="Arial"/>
      <family val="2"/>
    </font>
    <font>
      <b/>
      <sz val="9"/>
      <color indexed="10"/>
      <name val="Arial"/>
      <family val="2"/>
    </font>
    <font>
      <b/>
      <sz val="11"/>
      <color indexed="9"/>
      <name val="Arial"/>
      <family val="2"/>
    </font>
    <font>
      <sz val="11"/>
      <name val="Calibri"/>
      <family val="2"/>
      <scheme val="minor"/>
    </font>
    <font>
      <b/>
      <sz val="12"/>
      <name val="Calibri"/>
      <family val="2"/>
      <scheme val="minor"/>
    </font>
    <font>
      <sz val="10"/>
      <name val="Arial"/>
      <family val="2"/>
    </font>
    <font>
      <sz val="12"/>
      <name val="Calibri"/>
      <family val="2"/>
      <scheme val="minor"/>
    </font>
    <font>
      <vertAlign val="subscript"/>
      <sz val="12"/>
      <name val="Calibri"/>
      <family val="2"/>
      <scheme val="minor"/>
    </font>
    <font>
      <u/>
      <sz val="11"/>
      <name val="Arial"/>
      <family val="2"/>
    </font>
    <font>
      <sz val="24"/>
      <name val="Arial"/>
      <family val="2"/>
    </font>
    <font>
      <b/>
      <sz val="26"/>
      <name val="Times New Roman"/>
      <family val="1"/>
    </font>
    <font>
      <b/>
      <sz val="16"/>
      <name val="Arial"/>
      <family val="2"/>
    </font>
    <font>
      <sz val="10"/>
      <name val="Times New Roman"/>
      <family val="1"/>
    </font>
    <font>
      <vertAlign val="superscript"/>
      <sz val="10"/>
      <name val="Arial"/>
      <family val="2"/>
    </font>
    <font>
      <sz val="11"/>
      <color rgb="FFFF0000"/>
      <name val="Arial"/>
      <family val="2"/>
    </font>
    <font>
      <sz val="11"/>
      <color rgb="FFFF0000"/>
      <name val="Times New Roman"/>
      <family val="1"/>
    </font>
    <font>
      <sz val="11"/>
      <name val="Times New Roman"/>
    </font>
    <font>
      <b/>
      <sz val="12"/>
      <color rgb="FFFF0000"/>
      <name val="Calibri"/>
      <family val="2"/>
      <scheme val="minor"/>
    </font>
    <font>
      <b/>
      <sz val="36"/>
      <name val="Arial"/>
      <family val="2"/>
    </font>
    <font>
      <b/>
      <sz val="11"/>
      <color rgb="FFFF0000"/>
      <name val="Times New Roman"/>
      <family val="1"/>
    </font>
    <font>
      <b/>
      <sz val="22"/>
      <name val="Arial"/>
      <family val="2"/>
    </font>
    <font>
      <sz val="9"/>
      <name val="Calibri"/>
      <family val="2"/>
    </font>
    <font>
      <sz val="12"/>
      <color rgb="FF777777"/>
      <name val="Arial"/>
      <family val="2"/>
    </font>
    <font>
      <b/>
      <sz val="12"/>
      <color rgb="FFFF0000"/>
      <name val="Arial"/>
      <family val="2"/>
    </font>
    <font>
      <b/>
      <vertAlign val="superscript"/>
      <sz val="11"/>
      <name val="Arial"/>
      <family val="2"/>
    </font>
  </fonts>
  <fills count="14">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4" tint="0.59999389629810485"/>
        <bgColor indexed="65"/>
      </patternFill>
    </fill>
    <fill>
      <patternFill patternType="solid">
        <fgColor theme="2" tint="-9.9978637043366805E-2"/>
        <bgColor indexed="64"/>
      </patternFill>
    </fill>
    <fill>
      <patternFill patternType="solid">
        <fgColor theme="5" tint="0.59999389629810485"/>
        <bgColor indexed="64"/>
      </patternFill>
    </fill>
  </fills>
  <borders count="114">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auto="1"/>
      </top>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diagonal/>
    </border>
    <border>
      <left style="medium">
        <color auto="1"/>
      </left>
      <right style="medium">
        <color auto="1"/>
      </right>
      <top/>
      <bottom/>
      <diagonal/>
    </border>
    <border>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theme="0"/>
      </left>
      <right style="thin">
        <color theme="0"/>
      </right>
      <top style="thin">
        <color theme="0"/>
      </top>
      <bottom style="thin">
        <color theme="0"/>
      </bottom>
      <diagonal/>
    </border>
    <border>
      <left style="thin">
        <color auto="1"/>
      </left>
      <right style="thin">
        <color auto="1"/>
      </right>
      <top style="thin">
        <color theme="0"/>
      </top>
      <bottom/>
      <diagonal/>
    </border>
    <border>
      <left style="thin">
        <color auto="1"/>
      </left>
      <right style="thin">
        <color theme="0"/>
      </right>
      <top style="thin">
        <color theme="0"/>
      </top>
      <bottom/>
      <diagonal/>
    </border>
    <border>
      <left style="thin">
        <color auto="1"/>
      </left>
      <right style="thin">
        <color theme="0"/>
      </right>
      <top style="thin">
        <color theme="0"/>
      </top>
      <bottom style="thin">
        <color theme="0"/>
      </bottom>
      <diagonal/>
    </border>
    <border>
      <left style="thin">
        <color auto="1"/>
      </left>
      <right style="thin">
        <color auto="1"/>
      </right>
      <top style="thin">
        <color theme="0"/>
      </top>
      <bottom style="thin">
        <color theme="0"/>
      </bottom>
      <diagonal/>
    </border>
    <border>
      <left/>
      <right style="thin">
        <color auto="1"/>
      </right>
      <top style="thin">
        <color theme="0"/>
      </top>
      <bottom/>
      <diagonal/>
    </border>
    <border>
      <left/>
      <right style="thin">
        <color auto="1"/>
      </right>
      <top style="thin">
        <color theme="0"/>
      </top>
      <bottom style="thin">
        <color theme="0"/>
      </bottom>
      <diagonal/>
    </border>
    <border>
      <left style="thin">
        <color auto="1"/>
      </left>
      <right style="thin">
        <color theme="0"/>
      </right>
      <top/>
      <bottom/>
      <diagonal/>
    </border>
    <border>
      <left style="thin">
        <color theme="0"/>
      </left>
      <right style="thin">
        <color auto="1"/>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bottom/>
      <diagonal/>
    </border>
    <border>
      <left/>
      <right/>
      <top style="medium">
        <color theme="1"/>
      </top>
      <bottom/>
      <diagonal/>
    </border>
    <border>
      <left/>
      <right style="medium">
        <color auto="1"/>
      </right>
      <top style="medium">
        <color auto="1"/>
      </top>
      <bottom style="thin">
        <color theme="1"/>
      </bottom>
      <diagonal/>
    </border>
    <border>
      <left/>
      <right style="medium">
        <color auto="1"/>
      </right>
      <top/>
      <bottom style="thin">
        <color theme="1"/>
      </bottom>
      <diagonal/>
    </border>
    <border>
      <left/>
      <right style="medium">
        <color auto="1"/>
      </right>
      <top style="thin">
        <color theme="1"/>
      </top>
      <bottom style="medium">
        <color theme="1"/>
      </bottom>
      <diagonal/>
    </border>
    <border>
      <left style="thin">
        <color auto="1"/>
      </left>
      <right style="medium">
        <color theme="1"/>
      </right>
      <top style="medium">
        <color auto="1"/>
      </top>
      <bottom style="thin">
        <color auto="1"/>
      </bottom>
      <diagonal/>
    </border>
    <border>
      <left style="thin">
        <color auto="1"/>
      </left>
      <right style="medium">
        <color theme="1"/>
      </right>
      <top style="thin">
        <color auto="1"/>
      </top>
      <bottom style="thin">
        <color auto="1"/>
      </bottom>
      <diagonal/>
    </border>
    <border>
      <left style="thin">
        <color auto="1"/>
      </left>
      <right style="medium">
        <color theme="1"/>
      </right>
      <top style="thin">
        <color auto="1"/>
      </top>
      <bottom style="medium">
        <color auto="1"/>
      </bottom>
      <diagonal/>
    </border>
    <border>
      <left style="medium">
        <color theme="1"/>
      </left>
      <right style="thin">
        <color auto="1"/>
      </right>
      <top/>
      <bottom/>
      <diagonal/>
    </border>
  </borders>
  <cellStyleXfs count="33">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11" borderId="0" applyNumberFormat="0" applyBorder="0" applyAlignment="0" applyProtection="0"/>
    <xf numFmtId="9" fontId="68" fillId="0" borderId="0" applyFont="0" applyFill="0" applyBorder="0" applyAlignment="0" applyProtection="0"/>
  </cellStyleXfs>
  <cellXfs count="1171">
    <xf numFmtId="0" fontId="0" fillId="0" borderId="0" xfId="0"/>
    <xf numFmtId="0" fontId="0" fillId="0" borderId="0" xfId="0" applyAlignment="1">
      <alignment vertical="center"/>
    </xf>
    <xf numFmtId="2"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0" fillId="0" borderId="4" xfId="0"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7" xfId="0" applyNumberFormat="1" applyBorder="1" applyAlignment="1">
      <alignment vertical="center"/>
    </xf>
    <xf numFmtId="0" fontId="0" fillId="0" borderId="8" xfId="0" applyBorder="1" applyAlignment="1">
      <alignment horizontal="right"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7" xfId="0" applyNumberFormat="1"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5" fillId="0" borderId="12" xfId="0" applyFont="1" applyBorder="1" applyAlignment="1">
      <alignment vertical="center" wrapText="1"/>
    </xf>
    <xf numFmtId="0" fontId="0" fillId="0" borderId="4" xfId="0" applyFill="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Fill="1" applyBorder="1" applyAlignment="1">
      <alignment vertical="center"/>
    </xf>
    <xf numFmtId="2" fontId="0" fillId="0" borderId="1" xfId="0" applyNumberFormat="1" applyBorder="1" applyAlignment="1">
      <alignment horizontal="right" vertical="center"/>
    </xf>
    <xf numFmtId="2" fontId="0" fillId="0" borderId="2" xfId="0" applyNumberFormat="1" applyBorder="1" applyAlignment="1">
      <alignment horizontal="right" vertical="center"/>
    </xf>
    <xf numFmtId="2" fontId="0" fillId="0" borderId="3" xfId="0" applyNumberFormat="1" applyBorder="1" applyAlignment="1">
      <alignment horizontal="right" vertical="center"/>
    </xf>
    <xf numFmtId="0" fontId="0" fillId="0" borderId="4" xfId="0" applyBorder="1" applyAlignment="1">
      <alignment horizontal="right" vertical="center"/>
    </xf>
    <xf numFmtId="2" fontId="0" fillId="0" borderId="5" xfId="0" applyNumberFormat="1" applyBorder="1" applyAlignment="1">
      <alignment horizontal="right" vertical="center"/>
    </xf>
    <xf numFmtId="2" fontId="0" fillId="0" borderId="6" xfId="0" applyNumberFormat="1" applyBorder="1" applyAlignment="1">
      <alignment horizontal="right" vertical="center"/>
    </xf>
    <xf numFmtId="2" fontId="0" fillId="0" borderId="7" xfId="0" applyNumberFormat="1" applyBorder="1" applyAlignment="1">
      <alignment horizontal="right"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0" fontId="5" fillId="0" borderId="12" xfId="0" applyFont="1" applyBorder="1" applyAlignment="1">
      <alignment vertical="center"/>
    </xf>
    <xf numFmtId="0" fontId="0" fillId="0" borderId="8" xfId="0"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0" xfId="0" applyAlignment="1">
      <alignment horizontal="center" vertical="center"/>
    </xf>
    <xf numFmtId="0" fontId="0" fillId="2" borderId="8" xfId="0" applyFill="1" applyBorder="1" applyAlignment="1">
      <alignment horizontal="right" vertical="center"/>
    </xf>
    <xf numFmtId="2" fontId="0" fillId="2" borderId="7" xfId="0" applyNumberFormat="1" applyFill="1" applyBorder="1" applyAlignment="1">
      <alignment horizontal="right" vertical="center"/>
    </xf>
    <xf numFmtId="2" fontId="0" fillId="2" borderId="6" xfId="0" applyNumberFormat="1" applyFill="1" applyBorder="1" applyAlignment="1">
      <alignment horizontal="right" vertical="center"/>
    </xf>
    <xf numFmtId="2" fontId="0" fillId="2" borderId="5" xfId="0" applyNumberFormat="1" applyFill="1" applyBorder="1" applyAlignment="1">
      <alignment horizontal="right" vertical="center"/>
    </xf>
    <xf numFmtId="0" fontId="0" fillId="3" borderId="4" xfId="0" applyFill="1" applyBorder="1" applyAlignment="1">
      <alignment horizontal="right" vertical="center"/>
    </xf>
    <xf numFmtId="2" fontId="0" fillId="3" borderId="3" xfId="0" applyNumberFormat="1" applyFill="1" applyBorder="1" applyAlignment="1">
      <alignment horizontal="right" vertical="center"/>
    </xf>
    <xf numFmtId="2" fontId="0" fillId="3" borderId="2" xfId="0" applyNumberFormat="1" applyFill="1" applyBorder="1" applyAlignment="1">
      <alignment horizontal="right" vertical="center"/>
    </xf>
    <xf numFmtId="2" fontId="0" fillId="3" borderId="1" xfId="0" applyNumberFormat="1" applyFill="1" applyBorder="1" applyAlignment="1">
      <alignment horizontal="right" vertical="center"/>
    </xf>
    <xf numFmtId="2" fontId="5" fillId="4" borderId="7" xfId="0" applyNumberFormat="1" applyFont="1" applyFill="1" applyBorder="1" applyAlignment="1">
      <alignment horizontal="center" vertical="center"/>
    </xf>
    <xf numFmtId="2" fontId="5" fillId="4" borderId="6"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2" fontId="0" fillId="5" borderId="3" xfId="0" applyNumberFormat="1" applyFill="1" applyBorder="1" applyAlignment="1">
      <alignment vertical="center"/>
    </xf>
    <xf numFmtId="2" fontId="0" fillId="5" borderId="2" xfId="0" applyNumberFormat="1" applyFill="1" applyBorder="1" applyAlignment="1">
      <alignment vertical="center"/>
    </xf>
    <xf numFmtId="2" fontId="0" fillId="5" borderId="1" xfId="0" applyNumberFormat="1" applyFill="1" applyBorder="1" applyAlignment="1">
      <alignment vertical="center"/>
    </xf>
    <xf numFmtId="0" fontId="0" fillId="4" borderId="8" xfId="0" applyFill="1" applyBorder="1" applyAlignment="1">
      <alignment horizontal="left" vertical="center"/>
    </xf>
    <xf numFmtId="0" fontId="0" fillId="5" borderId="4" xfId="0" applyFill="1" applyBorder="1" applyAlignment="1">
      <alignment horizontal="right" vertical="center"/>
    </xf>
    <xf numFmtId="0" fontId="11" fillId="0" borderId="0" xfId="0" applyFont="1" applyAlignment="1">
      <alignment vertical="center"/>
    </xf>
    <xf numFmtId="0" fontId="11" fillId="0" borderId="0" xfId="0" applyFont="1" applyFill="1" applyAlignment="1">
      <alignment vertical="center"/>
    </xf>
    <xf numFmtId="0" fontId="11" fillId="0" borderId="0" xfId="0" applyFont="1" applyBorder="1" applyAlignment="1">
      <alignment vertical="center"/>
    </xf>
    <xf numFmtId="164" fontId="0" fillId="0" borderId="6" xfId="0" applyNumberFormat="1" applyBorder="1" applyAlignment="1">
      <alignment horizontal="center" vertical="center"/>
    </xf>
    <xf numFmtId="164" fontId="0" fillId="0" borderId="2" xfId="0" applyNumberFormat="1" applyBorder="1" applyAlignment="1">
      <alignment horizontal="center" vertical="center"/>
    </xf>
    <xf numFmtId="0" fontId="12" fillId="0" borderId="0" xfId="0" applyFont="1" applyAlignment="1">
      <alignment vertical="center"/>
    </xf>
    <xf numFmtId="0" fontId="14" fillId="0" borderId="0" xfId="0" applyFont="1"/>
    <xf numFmtId="0" fontId="0" fillId="0" borderId="0" xfId="0" applyAlignment="1" applyProtection="1">
      <alignment horizontal="center" vertical="center"/>
      <protection locked="0"/>
    </xf>
    <xf numFmtId="0" fontId="0" fillId="0" borderId="0" xfId="0" applyAlignment="1">
      <alignment horizontal="center"/>
    </xf>
    <xf numFmtId="0" fontId="16" fillId="0" borderId="0" xfId="0" applyFont="1"/>
    <xf numFmtId="0" fontId="16" fillId="0" borderId="0" xfId="0" applyFont="1" applyAlignment="1">
      <alignment horizontal="center"/>
    </xf>
    <xf numFmtId="2" fontId="20" fillId="0" borderId="6" xfId="0" applyNumberFormat="1" applyFont="1" applyFill="1" applyBorder="1" applyAlignment="1">
      <alignment horizontal="center" vertical="center" wrapText="1"/>
    </xf>
    <xf numFmtId="2" fontId="20" fillId="0" borderId="5" xfId="0" applyNumberFormat="1" applyFont="1" applyFill="1" applyBorder="1" applyAlignment="1">
      <alignment horizontal="center" vertical="center" wrapText="1"/>
    </xf>
    <xf numFmtId="2" fontId="20" fillId="0" borderId="2" xfId="0" applyNumberFormat="1" applyFont="1" applyFill="1" applyBorder="1" applyAlignment="1">
      <alignment horizontal="center" vertical="center" wrapText="1"/>
    </xf>
    <xf numFmtId="2" fontId="20" fillId="0" borderId="1" xfId="0" applyNumberFormat="1" applyFont="1" applyFill="1" applyBorder="1" applyAlignment="1">
      <alignment horizontal="center" vertical="center" wrapText="1"/>
    </xf>
    <xf numFmtId="0" fontId="0" fillId="6" borderId="0" xfId="0" applyFill="1" applyAlignment="1">
      <alignment vertical="center"/>
    </xf>
    <xf numFmtId="164" fontId="0" fillId="6" borderId="5" xfId="0" applyNumberFormat="1" applyFill="1" applyBorder="1" applyAlignment="1">
      <alignment horizontal="center" vertical="center"/>
    </xf>
    <xf numFmtId="2" fontId="0" fillId="0" borderId="6" xfId="0" applyNumberFormat="1" applyFont="1" applyBorder="1" applyAlignment="1">
      <alignment horizontal="center" vertical="center" wrapText="1"/>
    </xf>
    <xf numFmtId="2" fontId="0" fillId="0" borderId="2" xfId="0" applyNumberFormat="1" applyFont="1" applyBorder="1" applyAlignment="1">
      <alignment horizontal="center" vertical="center" wrapText="1"/>
    </xf>
    <xf numFmtId="2" fontId="20" fillId="0" borderId="0" xfId="0" applyNumberFormat="1" applyFont="1" applyFill="1" applyBorder="1" applyAlignment="1">
      <alignment horizontal="center" vertical="center" wrapText="1"/>
    </xf>
    <xf numFmtId="0" fontId="11" fillId="6" borderId="0" xfId="0" applyFont="1" applyFill="1" applyBorder="1" applyAlignment="1">
      <alignment vertical="center"/>
    </xf>
    <xf numFmtId="0" fontId="22" fillId="6" borderId="7" xfId="0" applyFont="1" applyFill="1" applyBorder="1" applyAlignment="1">
      <alignment vertical="center" wrapText="1"/>
    </xf>
    <xf numFmtId="0" fontId="22" fillId="6" borderId="3" xfId="0" applyFont="1" applyFill="1" applyBorder="1" applyAlignment="1">
      <alignment vertical="center" wrapText="1"/>
    </xf>
    <xf numFmtId="164" fontId="0" fillId="6" borderId="1" xfId="0" applyNumberFormat="1" applyFill="1" applyBorder="1" applyAlignment="1">
      <alignment horizontal="center" vertical="center"/>
    </xf>
    <xf numFmtId="0" fontId="22" fillId="6" borderId="26" xfId="0" applyFont="1" applyFill="1" applyBorder="1" applyAlignment="1">
      <alignment vertical="center" wrapText="1"/>
    </xf>
    <xf numFmtId="0" fontId="0" fillId="0" borderId="39" xfId="0" applyBorder="1" applyAlignment="1">
      <alignment horizontal="center"/>
    </xf>
    <xf numFmtId="0" fontId="0" fillId="0" borderId="53" xfId="0" applyBorder="1" applyAlignment="1">
      <alignment horizontal="center"/>
    </xf>
    <xf numFmtId="164" fontId="0" fillId="0" borderId="39" xfId="0" applyNumberFormat="1" applyFont="1" applyFill="1" applyBorder="1" applyAlignment="1">
      <alignment horizontal="center" vertical="center" wrapText="1"/>
    </xf>
    <xf numFmtId="164" fontId="0" fillId="0" borderId="53" xfId="0" applyNumberFormat="1" applyFont="1" applyFill="1" applyBorder="1" applyAlignment="1">
      <alignment horizontal="center" vertical="center" wrapText="1"/>
    </xf>
    <xf numFmtId="164" fontId="20" fillId="0" borderId="39" xfId="0" applyNumberFormat="1" applyFont="1" applyFill="1" applyBorder="1" applyAlignment="1">
      <alignment horizontal="center" vertical="center" wrapText="1"/>
    </xf>
    <xf numFmtId="164" fontId="20" fillId="0" borderId="53" xfId="0" applyNumberFormat="1" applyFont="1" applyFill="1" applyBorder="1" applyAlignment="1">
      <alignment horizontal="center" vertical="center" wrapText="1"/>
    </xf>
    <xf numFmtId="0" fontId="14" fillId="0" borderId="0" xfId="0" applyFont="1" applyAlignment="1">
      <alignment horizontal="center"/>
    </xf>
    <xf numFmtId="0" fontId="0" fillId="0" borderId="6" xfId="0" applyBorder="1" applyAlignment="1">
      <alignment horizontal="center"/>
    </xf>
    <xf numFmtId="0" fontId="23" fillId="6" borderId="79" xfId="0" applyFont="1" applyFill="1" applyBorder="1" applyAlignment="1">
      <alignment vertical="center" wrapText="1"/>
    </xf>
    <xf numFmtId="0" fontId="23" fillId="6" borderId="7" xfId="0" applyFont="1" applyFill="1" applyBorder="1" applyAlignment="1">
      <alignment vertical="center" wrapText="1"/>
    </xf>
    <xf numFmtId="0" fontId="23" fillId="6" borderId="3" xfId="0" applyFont="1" applyFill="1" applyBorder="1" applyAlignment="1">
      <alignment vertical="center" wrapText="1"/>
    </xf>
    <xf numFmtId="0" fontId="29" fillId="6" borderId="0" xfId="0" applyFont="1" applyFill="1" applyBorder="1" applyAlignment="1">
      <alignment horizontal="left" vertical="center"/>
    </xf>
    <xf numFmtId="0" fontId="23" fillId="6" borderId="2" xfId="0" applyFont="1" applyFill="1" applyBorder="1" applyAlignment="1">
      <alignment horizontal="center" vertical="center" wrapText="1"/>
    </xf>
    <xf numFmtId="164" fontId="22" fillId="6" borderId="6" xfId="0" applyNumberFormat="1" applyFont="1" applyFill="1" applyBorder="1" applyAlignment="1">
      <alignment horizontal="center" vertical="center" wrapText="1"/>
    </xf>
    <xf numFmtId="164" fontId="22" fillId="6" borderId="2" xfId="0" applyNumberFormat="1" applyFont="1" applyFill="1" applyBorder="1" applyAlignment="1">
      <alignment horizontal="center" vertical="center" wrapText="1"/>
    </xf>
    <xf numFmtId="0" fontId="24" fillId="6" borderId="0" xfId="0" applyFont="1" applyFill="1" applyBorder="1" applyAlignment="1">
      <alignment vertical="center"/>
    </xf>
    <xf numFmtId="0" fontId="2" fillId="0" borderId="2" xfId="0" applyFont="1" applyBorder="1" applyAlignment="1">
      <alignment horizontal="center" vertical="center"/>
    </xf>
    <xf numFmtId="164" fontId="22" fillId="6" borderId="29" xfId="0" applyNumberFormat="1" applyFont="1" applyFill="1" applyBorder="1" applyAlignment="1">
      <alignment horizontal="center" vertical="center" wrapText="1"/>
    </xf>
    <xf numFmtId="164" fontId="0" fillId="0" borderId="29" xfId="0" applyNumberFormat="1" applyBorder="1" applyAlignment="1">
      <alignment horizontal="center" vertical="center"/>
    </xf>
    <xf numFmtId="164" fontId="0" fillId="6" borderId="30" xfId="0" applyNumberFormat="1" applyFill="1" applyBorder="1" applyAlignment="1">
      <alignment horizontal="center" vertical="center"/>
    </xf>
    <xf numFmtId="0" fontId="3" fillId="0" borderId="70" xfId="0" applyFont="1" applyBorder="1" applyAlignment="1">
      <alignment horizontal="left"/>
    </xf>
    <xf numFmtId="0" fontId="0" fillId="0" borderId="83" xfId="0" applyBorder="1"/>
    <xf numFmtId="0" fontId="0" fillId="0" borderId="71" xfId="0" applyBorder="1"/>
    <xf numFmtId="0" fontId="0" fillId="0" borderId="19" xfId="0" applyBorder="1" applyAlignment="1">
      <alignment horizontal="center"/>
    </xf>
    <xf numFmtId="0" fontId="3" fillId="0" borderId="0" xfId="0" applyFont="1" applyBorder="1"/>
    <xf numFmtId="0" fontId="0" fillId="0" borderId="0" xfId="0" applyBorder="1"/>
    <xf numFmtId="0" fontId="3" fillId="0" borderId="18" xfId="0" applyFont="1" applyBorder="1"/>
    <xf numFmtId="0" fontId="2" fillId="0" borderId="19" xfId="0" applyFont="1" applyBorder="1" applyAlignment="1">
      <alignment horizontal="left"/>
    </xf>
    <xf numFmtId="0" fontId="0" fillId="0" borderId="18" xfId="0" applyBorder="1"/>
    <xf numFmtId="0" fontId="3" fillId="0" borderId="7" xfId="0" applyFont="1" applyBorder="1" applyAlignment="1">
      <alignment vertical="center" wrapText="1"/>
    </xf>
    <xf numFmtId="0" fontId="3" fillId="0" borderId="3" xfId="0" applyFont="1" applyBorder="1" applyAlignment="1">
      <alignment vertical="center" wrapText="1"/>
    </xf>
    <xf numFmtId="0" fontId="0" fillId="0" borderId="18" xfId="0"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0" fillId="0" borderId="5" xfId="0" applyBorder="1" applyAlignment="1">
      <alignment horizontal="center"/>
    </xf>
    <xf numFmtId="0" fontId="3" fillId="0" borderId="70" xfId="0" applyFont="1" applyBorder="1" applyAlignment="1">
      <alignment horizontal="center"/>
    </xf>
    <xf numFmtId="0" fontId="0" fillId="0" borderId="19" xfId="0" applyBorder="1" applyAlignment="1">
      <alignment horizontal="left"/>
    </xf>
    <xf numFmtId="0" fontId="2" fillId="0" borderId="7" xfId="0" applyFont="1" applyBorder="1" applyAlignment="1">
      <alignment horizontal="left"/>
    </xf>
    <xf numFmtId="0" fontId="3" fillId="0" borderId="24" xfId="0" applyFont="1" applyFill="1" applyBorder="1" applyAlignment="1">
      <alignment vertical="center" wrapText="1"/>
    </xf>
    <xf numFmtId="0" fontId="0" fillId="0" borderId="25" xfId="0" applyBorder="1" applyAlignment="1">
      <alignment horizontal="center"/>
    </xf>
    <xf numFmtId="0" fontId="3" fillId="0" borderId="19" xfId="0" applyFont="1" applyFill="1" applyBorder="1" applyAlignment="1">
      <alignment vertical="center" wrapText="1"/>
    </xf>
    <xf numFmtId="0" fontId="3" fillId="0" borderId="57" xfId="0" applyFont="1" applyFill="1" applyBorder="1" applyAlignment="1">
      <alignment vertical="center" wrapText="1"/>
    </xf>
    <xf numFmtId="164" fontId="20" fillId="0" borderId="55" xfId="0" applyNumberFormat="1" applyFont="1" applyFill="1" applyBorder="1" applyAlignment="1">
      <alignment horizontal="center" vertical="center" wrapText="1"/>
    </xf>
    <xf numFmtId="0" fontId="0" fillId="0" borderId="52" xfId="0" applyBorder="1" applyAlignment="1">
      <alignment horizontal="center"/>
    </xf>
    <xf numFmtId="0" fontId="23" fillId="6" borderId="50" xfId="0" applyFont="1" applyFill="1" applyBorder="1" applyAlignment="1">
      <alignment vertical="center" wrapText="1"/>
    </xf>
    <xf numFmtId="0" fontId="2" fillId="0" borderId="6" xfId="0" applyFont="1" applyBorder="1" applyAlignment="1">
      <alignment horizontal="center" vertical="center"/>
    </xf>
    <xf numFmtId="0" fontId="23" fillId="6" borderId="1"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21" xfId="0" applyFont="1" applyBorder="1" applyAlignment="1">
      <alignment horizontal="center" vertical="center"/>
    </xf>
    <xf numFmtId="0" fontId="2" fillId="0" borderId="42" xfId="0" applyFont="1" applyBorder="1" applyAlignment="1">
      <alignment horizontal="center" vertical="center"/>
    </xf>
    <xf numFmtId="0" fontId="23" fillId="6" borderId="42" xfId="0" applyFont="1" applyFill="1" applyBorder="1" applyAlignment="1">
      <alignment horizontal="center" vertical="center" wrapText="1"/>
    </xf>
    <xf numFmtId="0" fontId="23" fillId="6" borderId="42" xfId="0" applyFont="1" applyFill="1" applyBorder="1" applyAlignment="1">
      <alignment vertical="center" wrapText="1"/>
    </xf>
    <xf numFmtId="0" fontId="2" fillId="0" borderId="0" xfId="0" applyFont="1" applyAlignment="1">
      <alignment horizontal="center"/>
    </xf>
    <xf numFmtId="0" fontId="3" fillId="6" borderId="0" xfId="0" applyFont="1" applyFill="1" applyBorder="1" applyAlignment="1">
      <alignment vertical="center"/>
    </xf>
    <xf numFmtId="0" fontId="2" fillId="0" borderId="80" xfId="0" applyFont="1" applyBorder="1" applyAlignment="1">
      <alignment horizontal="left" vertical="center"/>
    </xf>
    <xf numFmtId="0" fontId="0" fillId="6" borderId="0" xfId="0" applyFill="1" applyAlignment="1" applyProtection="1">
      <alignment vertical="center"/>
    </xf>
    <xf numFmtId="0" fontId="0" fillId="6" borderId="0" xfId="0" applyFill="1" applyBorder="1" applyAlignment="1" applyProtection="1">
      <alignment horizontal="center" vertical="center"/>
    </xf>
    <xf numFmtId="0" fontId="0" fillId="6" borderId="0" xfId="0" applyFill="1" applyBorder="1" applyAlignment="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2" fontId="33" fillId="6" borderId="2" xfId="0" applyNumberFormat="1" applyFont="1" applyFill="1" applyBorder="1" applyAlignment="1" applyProtection="1">
      <alignment horizontal="center" vertical="center"/>
    </xf>
    <xf numFmtId="0" fontId="25" fillId="6" borderId="5" xfId="0" applyFont="1" applyFill="1" applyBorder="1" applyAlignment="1" applyProtection="1">
      <alignment horizontal="center" vertical="center"/>
    </xf>
    <xf numFmtId="2" fontId="33" fillId="0" borderId="2" xfId="0" applyNumberFormat="1" applyFont="1" applyFill="1" applyBorder="1" applyAlignment="1" applyProtection="1">
      <alignment horizontal="center" vertical="center"/>
    </xf>
    <xf numFmtId="2" fontId="33" fillId="0" borderId="1" xfId="0" applyNumberFormat="1" applyFont="1" applyFill="1" applyBorder="1" applyAlignment="1" applyProtection="1">
      <alignment horizontal="center" vertical="center"/>
    </xf>
    <xf numFmtId="0" fontId="2" fillId="0" borderId="80" xfId="0" applyFont="1" applyBorder="1" applyAlignment="1">
      <alignment horizontal="center" vertical="center"/>
    </xf>
    <xf numFmtId="0" fontId="23" fillId="6" borderId="28" xfId="0" applyFont="1" applyFill="1" applyBorder="1" applyAlignment="1">
      <alignment horizontal="center" vertical="center" wrapText="1"/>
    </xf>
    <xf numFmtId="0" fontId="6" fillId="0" borderId="15" xfId="0" applyFont="1" applyBorder="1" applyAlignment="1">
      <alignment vertical="center"/>
    </xf>
    <xf numFmtId="0" fontId="17" fillId="0" borderId="61" xfId="0" applyFont="1" applyBorder="1" applyAlignment="1" applyProtection="1">
      <alignment horizontal="center" vertical="center"/>
    </xf>
    <xf numFmtId="0" fontId="17" fillId="0" borderId="62" xfId="0" applyFont="1" applyBorder="1" applyAlignment="1" applyProtection="1">
      <alignment horizontal="center" vertical="center"/>
    </xf>
    <xf numFmtId="0" fontId="17" fillId="0" borderId="63" xfId="0" applyFont="1" applyBorder="1" applyAlignment="1" applyProtection="1">
      <alignment horizontal="center" vertical="center"/>
    </xf>
    <xf numFmtId="0" fontId="17" fillId="0" borderId="70" xfId="0" applyFont="1" applyBorder="1" applyAlignment="1" applyProtection="1">
      <alignment horizontal="center" vertical="center"/>
    </xf>
    <xf numFmtId="0" fontId="16" fillId="0" borderId="69" xfId="0" applyFont="1" applyFill="1" applyBorder="1" applyAlignment="1" applyProtection="1">
      <alignment vertical="center" wrapText="1"/>
    </xf>
    <xf numFmtId="2" fontId="16" fillId="0" borderId="79" xfId="0" applyNumberFormat="1" applyFont="1" applyFill="1" applyBorder="1" applyAlignment="1" applyProtection="1">
      <alignment horizontal="center" vertical="center"/>
    </xf>
    <xf numFmtId="2" fontId="16" fillId="0" borderId="80" xfId="0" applyNumberFormat="1" applyFont="1" applyFill="1" applyBorder="1" applyAlignment="1" applyProtection="1">
      <alignment horizontal="center" vertical="center"/>
    </xf>
    <xf numFmtId="2" fontId="16" fillId="0" borderId="81" xfId="0" applyNumberFormat="1" applyFont="1" applyFill="1" applyBorder="1" applyAlignment="1" applyProtection="1">
      <alignment horizontal="center" vertical="center"/>
    </xf>
    <xf numFmtId="0" fontId="16" fillId="0" borderId="27" xfId="0" applyFont="1" applyFill="1" applyBorder="1" applyAlignment="1" applyProtection="1">
      <alignment vertical="center" wrapText="1"/>
    </xf>
    <xf numFmtId="2" fontId="16" fillId="0" borderId="7" xfId="0" applyNumberFormat="1" applyFont="1" applyFill="1" applyBorder="1" applyAlignment="1" applyProtection="1">
      <alignment horizontal="center" vertical="center"/>
    </xf>
    <xf numFmtId="2" fontId="16" fillId="0" borderId="6" xfId="0" applyNumberFormat="1" applyFont="1" applyFill="1" applyBorder="1" applyAlignment="1" applyProtection="1">
      <alignment horizontal="center" vertical="center"/>
    </xf>
    <xf numFmtId="2" fontId="16" fillId="0" borderId="5" xfId="0" applyNumberFormat="1" applyFont="1" applyFill="1" applyBorder="1" applyAlignment="1" applyProtection="1">
      <alignment horizontal="center" vertical="center"/>
    </xf>
    <xf numFmtId="2" fontId="16" fillId="0" borderId="26" xfId="0" applyNumberFormat="1" applyFont="1" applyBorder="1" applyAlignment="1" applyProtection="1">
      <alignment horizontal="center" vertical="center"/>
    </xf>
    <xf numFmtId="2" fontId="16" fillId="0" borderId="6" xfId="0" applyNumberFormat="1" applyFont="1" applyBorder="1" applyAlignment="1" applyProtection="1">
      <alignment horizontal="center" vertical="center"/>
    </xf>
    <xf numFmtId="2" fontId="16" fillId="0" borderId="5" xfId="0" applyNumberFormat="1" applyFont="1" applyBorder="1" applyAlignment="1" applyProtection="1">
      <alignment horizontal="center" vertical="center"/>
    </xf>
    <xf numFmtId="2" fontId="16" fillId="0" borderId="7" xfId="0" applyNumberFormat="1" applyFont="1" applyBorder="1" applyAlignment="1" applyProtection="1">
      <alignment horizontal="center" vertical="center"/>
    </xf>
    <xf numFmtId="2" fontId="9" fillId="0" borderId="61" xfId="0" applyNumberFormat="1" applyFont="1" applyBorder="1" applyAlignment="1" applyProtection="1">
      <alignment horizontal="center" vertical="center"/>
    </xf>
    <xf numFmtId="2" fontId="9" fillId="0" borderId="62" xfId="0" applyNumberFormat="1" applyFont="1" applyBorder="1" applyAlignment="1" applyProtection="1">
      <alignment horizontal="center" vertical="center"/>
    </xf>
    <xf numFmtId="2" fontId="9" fillId="0" borderId="63" xfId="0" applyNumberFormat="1" applyFont="1" applyBorder="1" applyAlignment="1" applyProtection="1">
      <alignment horizontal="center" vertical="center"/>
    </xf>
    <xf numFmtId="2" fontId="16" fillId="0" borderId="26" xfId="0" applyNumberFormat="1" applyFont="1" applyFill="1" applyBorder="1" applyAlignment="1" applyProtection="1">
      <alignment horizontal="center" vertical="center"/>
    </xf>
    <xf numFmtId="2" fontId="16" fillId="0" borderId="29" xfId="0" applyNumberFormat="1" applyFont="1" applyFill="1" applyBorder="1" applyAlignment="1" applyProtection="1">
      <alignment horizontal="center" vertical="center"/>
    </xf>
    <xf numFmtId="2" fontId="16" fillId="0" borderId="30" xfId="0" applyNumberFormat="1" applyFont="1" applyFill="1" applyBorder="1" applyAlignment="1" applyProtection="1">
      <alignment horizontal="center" vertical="center"/>
    </xf>
    <xf numFmtId="2" fontId="16" fillId="0" borderId="29" xfId="0" applyNumberFormat="1" applyFont="1" applyBorder="1" applyAlignment="1" applyProtection="1">
      <alignment horizontal="center" vertical="center"/>
    </xf>
    <xf numFmtId="2" fontId="16" fillId="0" borderId="30" xfId="0" applyNumberFormat="1" applyFont="1" applyBorder="1" applyAlignment="1" applyProtection="1">
      <alignment horizontal="center" vertical="center"/>
    </xf>
    <xf numFmtId="0" fontId="16" fillId="0" borderId="0" xfId="0" applyFont="1" applyBorder="1" applyAlignment="1" applyProtection="1">
      <alignment vertical="center" wrapText="1"/>
    </xf>
    <xf numFmtId="0" fontId="16" fillId="6" borderId="34"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6" borderId="35" xfId="0" applyFont="1" applyFill="1" applyBorder="1" applyAlignment="1" applyProtection="1">
      <alignment horizontal="center" vertical="center"/>
    </xf>
    <xf numFmtId="0" fontId="16" fillId="6" borderId="40" xfId="0" applyFont="1" applyFill="1" applyBorder="1" applyAlignment="1" applyProtection="1">
      <alignment horizontal="center" vertical="center"/>
    </xf>
    <xf numFmtId="0" fontId="16" fillId="6" borderId="39" xfId="0" applyFont="1" applyFill="1" applyBorder="1" applyAlignment="1" applyProtection="1">
      <alignment horizontal="center" vertical="center"/>
    </xf>
    <xf numFmtId="164" fontId="16" fillId="6" borderId="73" xfId="0" applyNumberFormat="1" applyFont="1" applyFill="1" applyBorder="1" applyAlignment="1" applyProtection="1">
      <alignment horizontal="center" vertical="center"/>
    </xf>
    <xf numFmtId="164" fontId="16" fillId="6" borderId="82" xfId="0" applyNumberFormat="1" applyFont="1" applyFill="1" applyBorder="1" applyAlignment="1" applyProtection="1">
      <alignment horizontal="center" vertical="center"/>
    </xf>
    <xf numFmtId="164" fontId="16" fillId="6" borderId="80" xfId="0" applyNumberFormat="1" applyFont="1" applyFill="1" applyBorder="1" applyAlignment="1" applyProtection="1">
      <alignment horizontal="center" vertical="center"/>
    </xf>
    <xf numFmtId="164" fontId="16" fillId="6" borderId="81" xfId="0" applyNumberFormat="1" applyFont="1" applyFill="1" applyBorder="1" applyAlignment="1" applyProtection="1">
      <alignment horizontal="center" vertical="center"/>
    </xf>
    <xf numFmtId="164" fontId="16" fillId="6" borderId="79" xfId="0" applyNumberFormat="1" applyFont="1" applyFill="1" applyBorder="1" applyAlignment="1" applyProtection="1">
      <alignment horizontal="center" vertical="center"/>
    </xf>
    <xf numFmtId="164" fontId="16" fillId="6" borderId="8" xfId="0" applyNumberFormat="1" applyFont="1" applyFill="1" applyBorder="1" applyAlignment="1" applyProtection="1">
      <alignment horizontal="center" vertical="center"/>
    </xf>
    <xf numFmtId="164" fontId="16" fillId="6" borderId="38" xfId="0" applyNumberFormat="1" applyFont="1" applyFill="1" applyBorder="1" applyAlignment="1" applyProtection="1">
      <alignment horizontal="center" vertical="center"/>
    </xf>
    <xf numFmtId="164" fontId="16" fillId="6" borderId="6" xfId="0" applyNumberFormat="1" applyFont="1" applyFill="1" applyBorder="1" applyAlignment="1" applyProtection="1">
      <alignment horizontal="center" vertical="center"/>
    </xf>
    <xf numFmtId="2" fontId="16" fillId="6" borderId="5" xfId="0" applyNumberFormat="1" applyFont="1" applyFill="1" applyBorder="1" applyAlignment="1" applyProtection="1">
      <alignment horizontal="center" vertical="center"/>
    </xf>
    <xf numFmtId="164" fontId="16" fillId="6" borderId="7" xfId="0" applyNumberFormat="1" applyFont="1" applyFill="1" applyBorder="1" applyAlignment="1" applyProtection="1">
      <alignment horizontal="center" vertical="center"/>
    </xf>
    <xf numFmtId="164" fontId="16" fillId="6" borderId="5" xfId="0" applyNumberFormat="1" applyFont="1" applyFill="1" applyBorder="1" applyAlignment="1" applyProtection="1">
      <alignment horizontal="center" vertical="center"/>
    </xf>
    <xf numFmtId="164" fontId="16" fillId="6" borderId="4" xfId="0" applyNumberFormat="1" applyFont="1" applyFill="1" applyBorder="1" applyAlignment="1" applyProtection="1">
      <alignment horizontal="center" vertical="center"/>
    </xf>
    <xf numFmtId="164" fontId="16" fillId="6" borderId="50" xfId="0" applyNumberFormat="1" applyFont="1" applyFill="1" applyBorder="1" applyAlignment="1" applyProtection="1">
      <alignment horizontal="center" vertical="center"/>
    </xf>
    <xf numFmtId="164" fontId="16" fillId="6" borderId="2" xfId="0" applyNumberFormat="1" applyFont="1" applyFill="1" applyBorder="1" applyAlignment="1" applyProtection="1">
      <alignment horizontal="center" vertical="center"/>
    </xf>
    <xf numFmtId="164" fontId="16" fillId="6" borderId="1" xfId="0" applyNumberFormat="1" applyFont="1" applyFill="1" applyBorder="1" applyAlignment="1" applyProtection="1">
      <alignment horizontal="center" vertical="center"/>
    </xf>
    <xf numFmtId="164" fontId="16" fillId="6" borderId="3" xfId="0" applyNumberFormat="1" applyFont="1" applyFill="1" applyBorder="1" applyAlignment="1" applyProtection="1">
      <alignment horizontal="center" vertical="center"/>
    </xf>
    <xf numFmtId="164" fontId="16" fillId="6" borderId="44" xfId="0" applyNumberFormat="1" applyFont="1" applyFill="1" applyBorder="1" applyAlignment="1" applyProtection="1">
      <alignment horizontal="center" vertical="center"/>
    </xf>
    <xf numFmtId="164" fontId="16" fillId="6" borderId="56" xfId="0" applyNumberFormat="1" applyFont="1" applyFill="1" applyBorder="1" applyAlignment="1" applyProtection="1">
      <alignment horizontal="center" vertical="center"/>
    </xf>
    <xf numFmtId="164" fontId="16" fillId="6" borderId="29" xfId="0" applyNumberFormat="1" applyFont="1" applyFill="1" applyBorder="1" applyAlignment="1" applyProtection="1">
      <alignment horizontal="center" vertical="center"/>
    </xf>
    <xf numFmtId="164" fontId="16" fillId="6" borderId="30" xfId="0" applyNumberFormat="1" applyFont="1" applyFill="1" applyBorder="1" applyAlignment="1" applyProtection="1">
      <alignment horizontal="center" vertical="center"/>
    </xf>
    <xf numFmtId="164" fontId="16" fillId="6" borderId="26" xfId="0" applyNumberFormat="1" applyFont="1" applyFill="1" applyBorder="1" applyAlignment="1" applyProtection="1">
      <alignment horizontal="center" vertical="center"/>
    </xf>
    <xf numFmtId="2" fontId="16" fillId="0" borderId="34" xfId="0" applyNumberFormat="1" applyFont="1" applyFill="1" applyBorder="1" applyAlignment="1" applyProtection="1">
      <alignment horizontal="center" vertical="center"/>
    </xf>
    <xf numFmtId="2" fontId="16" fillId="0" borderId="32" xfId="0" applyNumberFormat="1" applyFont="1" applyFill="1" applyBorder="1" applyAlignment="1" applyProtection="1">
      <alignment horizontal="center" vertical="center"/>
    </xf>
    <xf numFmtId="2" fontId="16" fillId="0" borderId="35" xfId="0" applyNumberFormat="1" applyFont="1" applyFill="1" applyBorder="1" applyAlignment="1" applyProtection="1">
      <alignment horizontal="center" vertical="center"/>
    </xf>
    <xf numFmtId="49" fontId="16" fillId="0" borderId="27" xfId="0" applyNumberFormat="1" applyFont="1" applyFill="1" applyBorder="1" applyAlignment="1" applyProtection="1">
      <alignment vertical="center" wrapText="1"/>
    </xf>
    <xf numFmtId="49" fontId="16" fillId="0" borderId="40" xfId="0" applyNumberFormat="1" applyFont="1" applyFill="1" applyBorder="1" applyAlignment="1" applyProtection="1">
      <alignment vertical="center" wrapText="1"/>
    </xf>
    <xf numFmtId="0" fontId="16" fillId="6" borderId="0" xfId="0" applyFont="1" applyFill="1" applyBorder="1" applyAlignment="1" applyProtection="1">
      <alignment vertical="center"/>
    </xf>
    <xf numFmtId="9" fontId="16" fillId="0" borderId="6" xfId="0" applyNumberFormat="1" applyFont="1" applyBorder="1" applyAlignment="1" applyProtection="1">
      <alignment horizontal="center" vertical="center"/>
    </xf>
    <xf numFmtId="2" fontId="41" fillId="6" borderId="6" xfId="0" applyNumberFormat="1" applyFont="1" applyFill="1" applyBorder="1" applyAlignment="1" applyProtection="1">
      <alignment horizontal="center" vertical="center" wrapText="1"/>
    </xf>
    <xf numFmtId="2" fontId="41" fillId="6" borderId="2" xfId="0" applyNumberFormat="1" applyFont="1" applyFill="1" applyBorder="1" applyAlignment="1" applyProtection="1">
      <alignment horizontal="center" vertical="center" wrapText="1"/>
    </xf>
    <xf numFmtId="2" fontId="41" fillId="6" borderId="1" xfId="0" applyNumberFormat="1" applyFont="1" applyFill="1" applyBorder="1" applyAlignment="1" applyProtection="1">
      <alignment horizontal="center" vertical="center" wrapText="1"/>
    </xf>
    <xf numFmtId="0" fontId="16" fillId="6" borderId="0" xfId="0" applyFont="1" applyFill="1" applyBorder="1" applyAlignment="1" applyProtection="1">
      <alignment vertical="center" wrapText="1"/>
    </xf>
    <xf numFmtId="2" fontId="16" fillId="6" borderId="0" xfId="0" applyNumberFormat="1" applyFont="1" applyFill="1" applyBorder="1" applyAlignment="1" applyProtection="1">
      <alignment horizontal="center" vertical="center" wrapText="1"/>
    </xf>
    <xf numFmtId="2" fontId="41" fillId="6" borderId="0" xfId="0" applyNumberFormat="1" applyFont="1" applyFill="1" applyBorder="1" applyAlignment="1" applyProtection="1">
      <alignment horizontal="center" vertical="center" wrapText="1"/>
    </xf>
    <xf numFmtId="0" fontId="42" fillId="6" borderId="0" xfId="0" applyFont="1" applyFill="1" applyBorder="1" applyAlignment="1" applyProtection="1">
      <alignment horizontal="center" vertical="center"/>
    </xf>
    <xf numFmtId="0" fontId="17" fillId="6" borderId="81" xfId="0" applyFont="1" applyFill="1" applyBorder="1" applyAlignment="1" applyProtection="1">
      <alignment horizontal="center" vertical="center" wrapText="1"/>
    </xf>
    <xf numFmtId="0" fontId="17" fillId="6" borderId="61" xfId="0" applyFont="1" applyFill="1" applyBorder="1" applyAlignment="1" applyProtection="1">
      <alignment horizontal="center" vertical="center"/>
    </xf>
    <xf numFmtId="164" fontId="17" fillId="6" borderId="79" xfId="0" applyNumberFormat="1" applyFont="1" applyFill="1" applyBorder="1" applyAlignment="1" applyProtection="1">
      <alignment horizontal="center" vertical="center"/>
    </xf>
    <xf numFmtId="9" fontId="40" fillId="6" borderId="0" xfId="0" applyNumberFormat="1" applyFont="1" applyFill="1" applyBorder="1" applyAlignment="1" applyProtection="1">
      <alignment horizontal="center" vertical="center" wrapText="1"/>
    </xf>
    <xf numFmtId="0" fontId="17" fillId="6" borderId="0" xfId="0" applyFont="1" applyFill="1" applyBorder="1" applyAlignment="1" applyProtection="1">
      <alignment vertical="center"/>
    </xf>
    <xf numFmtId="9" fontId="40" fillId="6" borderId="0" xfId="0" applyNumberFormat="1" applyFont="1" applyFill="1" applyBorder="1" applyAlignment="1" applyProtection="1">
      <alignment horizontal="center" vertical="center"/>
    </xf>
    <xf numFmtId="9" fontId="16" fillId="6" borderId="6" xfId="0" applyNumberFormat="1" applyFont="1" applyFill="1" applyBorder="1" applyAlignment="1" applyProtection="1">
      <alignment horizontal="center" vertical="center" wrapText="1"/>
    </xf>
    <xf numFmtId="164" fontId="17" fillId="6" borderId="81" xfId="0" applyNumberFormat="1" applyFont="1" applyFill="1" applyBorder="1" applyAlignment="1" applyProtection="1">
      <alignment horizontal="center" vertical="center"/>
    </xf>
    <xf numFmtId="9" fontId="16" fillId="6" borderId="27" xfId="0" applyNumberFormat="1" applyFont="1" applyFill="1" applyBorder="1" applyAlignment="1" applyProtection="1">
      <alignment horizontal="center" vertical="center"/>
    </xf>
    <xf numFmtId="9" fontId="16" fillId="6" borderId="32" xfId="0" applyNumberFormat="1" applyFont="1" applyFill="1" applyBorder="1" applyAlignment="1" applyProtection="1">
      <alignment horizontal="center" vertical="center" wrapText="1"/>
    </xf>
    <xf numFmtId="9" fontId="16" fillId="6" borderId="40" xfId="0" applyNumberFormat="1" applyFont="1" applyFill="1" applyBorder="1" applyAlignment="1" applyProtection="1">
      <alignment horizontal="center" vertical="center"/>
    </xf>
    <xf numFmtId="0" fontId="16" fillId="6" borderId="6" xfId="0" applyFont="1" applyFill="1" applyBorder="1" applyAlignment="1" applyProtection="1">
      <alignment horizontal="center" vertical="center"/>
    </xf>
    <xf numFmtId="0" fontId="16" fillId="6" borderId="31" xfId="0" applyFont="1" applyFill="1" applyBorder="1" applyAlignment="1" applyProtection="1">
      <alignment vertical="center"/>
    </xf>
    <xf numFmtId="0" fontId="40" fillId="6" borderId="31" xfId="0" applyFont="1" applyFill="1" applyBorder="1" applyAlignment="1" applyProtection="1">
      <alignment vertical="center" wrapText="1"/>
    </xf>
    <xf numFmtId="9" fontId="40" fillId="6" borderId="31" xfId="0" applyNumberFormat="1" applyFont="1" applyFill="1" applyBorder="1" applyAlignment="1" applyProtection="1">
      <alignment horizontal="center" vertical="center" wrapText="1"/>
    </xf>
    <xf numFmtId="0" fontId="17" fillId="6" borderId="31" xfId="0" applyFont="1" applyFill="1" applyBorder="1" applyAlignment="1" applyProtection="1">
      <alignment vertical="center"/>
    </xf>
    <xf numFmtId="9" fontId="40" fillId="6" borderId="31" xfId="0" applyNumberFormat="1" applyFont="1" applyFill="1" applyBorder="1" applyAlignment="1" applyProtection="1">
      <alignment horizontal="center" vertical="center"/>
    </xf>
    <xf numFmtId="9" fontId="25" fillId="6" borderId="31" xfId="0" applyNumberFormat="1" applyFont="1" applyFill="1" applyBorder="1" applyAlignment="1" applyProtection="1">
      <alignment horizontal="center" vertical="center" wrapText="1"/>
    </xf>
    <xf numFmtId="9" fontId="44" fillId="6" borderId="31" xfId="0" applyNumberFormat="1" applyFont="1" applyFill="1" applyBorder="1" applyAlignment="1" applyProtection="1">
      <alignment horizontal="center" vertical="center"/>
    </xf>
    <xf numFmtId="9" fontId="25" fillId="6" borderId="0" xfId="0" applyNumberFormat="1" applyFont="1" applyFill="1" applyBorder="1" applyAlignment="1" applyProtection="1">
      <alignment horizontal="center" vertical="center" wrapText="1"/>
    </xf>
    <xf numFmtId="2" fontId="17" fillId="6" borderId="80" xfId="0" applyNumberFormat="1" applyFont="1" applyFill="1" applyBorder="1" applyAlignment="1" applyProtection="1">
      <alignment horizontal="center" vertical="center"/>
    </xf>
    <xf numFmtId="2" fontId="17" fillId="6" borderId="81" xfId="0" applyNumberFormat="1" applyFont="1" applyFill="1" applyBorder="1" applyAlignment="1" applyProtection="1">
      <alignment horizontal="center" vertical="center"/>
    </xf>
    <xf numFmtId="2" fontId="47" fillId="6" borderId="6" xfId="0" applyNumberFormat="1" applyFont="1" applyFill="1" applyBorder="1" applyAlignment="1" applyProtection="1">
      <alignment horizontal="center" vertical="center" wrapText="1"/>
    </xf>
    <xf numFmtId="2" fontId="25" fillId="6" borderId="6" xfId="0" applyNumberFormat="1" applyFont="1" applyFill="1" applyBorder="1" applyAlignment="1" applyProtection="1">
      <alignment horizontal="center" vertical="center" wrapText="1"/>
    </xf>
    <xf numFmtId="2" fontId="47" fillId="6" borderId="2" xfId="0" applyNumberFormat="1" applyFont="1" applyFill="1" applyBorder="1" applyAlignment="1" applyProtection="1">
      <alignment horizontal="center" vertical="center" wrapText="1"/>
    </xf>
    <xf numFmtId="2" fontId="47" fillId="6" borderId="1" xfId="0" applyNumberFormat="1" applyFont="1" applyFill="1" applyBorder="1" applyAlignment="1" applyProtection="1">
      <alignment horizontal="center" vertical="center" wrapText="1"/>
    </xf>
    <xf numFmtId="0" fontId="29" fillId="6" borderId="0" xfId="0" applyFont="1" applyFill="1" applyBorder="1" applyAlignment="1" applyProtection="1">
      <alignment horizontal="left" vertical="center"/>
    </xf>
    <xf numFmtId="0" fontId="25" fillId="6" borderId="0" xfId="0" applyFont="1" applyFill="1" applyBorder="1" applyAlignment="1" applyProtection="1">
      <alignment horizontal="left" vertical="center"/>
    </xf>
    <xf numFmtId="0" fontId="16" fillId="6" borderId="31" xfId="0" applyFont="1" applyFill="1" applyBorder="1" applyAlignment="1" applyProtection="1">
      <alignment horizontal="center" vertical="center"/>
    </xf>
    <xf numFmtId="0" fontId="17" fillId="6" borderId="33" xfId="0" applyFont="1" applyFill="1" applyBorder="1" applyAlignment="1" applyProtection="1">
      <alignment vertical="center" wrapText="1"/>
    </xf>
    <xf numFmtId="0" fontId="17" fillId="6" borderId="42" xfId="0" applyFont="1" applyFill="1" applyBorder="1" applyAlignment="1" applyProtection="1">
      <alignment vertical="center" wrapText="1"/>
    </xf>
    <xf numFmtId="0" fontId="40" fillId="6" borderId="42" xfId="0" applyFont="1" applyFill="1" applyBorder="1" applyAlignment="1" applyProtection="1">
      <alignment vertical="center" wrapText="1"/>
    </xf>
    <xf numFmtId="0" fontId="40" fillId="6" borderId="45" xfId="0" applyFont="1" applyFill="1" applyBorder="1" applyAlignment="1" applyProtection="1">
      <alignment vertical="center" wrapText="1"/>
    </xf>
    <xf numFmtId="0" fontId="11" fillId="0" borderId="29" xfId="0" applyFont="1" applyBorder="1" applyAlignment="1">
      <alignment vertical="center"/>
    </xf>
    <xf numFmtId="0" fontId="16" fillId="0" borderId="0" xfId="0" applyFont="1" applyAlignment="1">
      <alignment vertical="center"/>
    </xf>
    <xf numFmtId="0" fontId="16" fillId="6" borderId="1" xfId="0" applyFont="1" applyFill="1" applyBorder="1" applyAlignment="1" applyProtection="1">
      <alignment vertical="center"/>
    </xf>
    <xf numFmtId="0" fontId="25" fillId="6" borderId="50" xfId="0" applyFont="1" applyFill="1" applyBorder="1" applyAlignment="1" applyProtection="1">
      <alignment horizontal="center" vertical="center" wrapText="1"/>
    </xf>
    <xf numFmtId="0" fontId="25" fillId="6" borderId="2" xfId="0"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xf>
    <xf numFmtId="164" fontId="25" fillId="6" borderId="38" xfId="0" applyNumberFormat="1" applyFont="1" applyFill="1" applyBorder="1" applyAlignment="1" applyProtection="1">
      <alignment horizontal="center" vertical="center" wrapText="1"/>
    </xf>
    <xf numFmtId="164" fontId="25" fillId="6" borderId="6" xfId="0" applyNumberFormat="1" applyFont="1" applyFill="1" applyBorder="1" applyAlignment="1" applyProtection="1">
      <alignment horizontal="center" vertical="center" wrapText="1"/>
    </xf>
    <xf numFmtId="0" fontId="25" fillId="6" borderId="4" xfId="0" applyFont="1" applyFill="1" applyBorder="1" applyAlignment="1" applyProtection="1">
      <alignment vertical="center" wrapText="1"/>
    </xf>
    <xf numFmtId="0" fontId="40" fillId="6" borderId="0" xfId="0" applyFont="1" applyFill="1" applyBorder="1" applyAlignment="1" applyProtection="1">
      <alignment horizontal="left" vertical="center" wrapText="1"/>
    </xf>
    <xf numFmtId="0" fontId="17" fillId="0" borderId="2" xfId="0" applyFont="1" applyBorder="1" applyAlignment="1" applyProtection="1">
      <alignment horizontal="center" vertical="center"/>
    </xf>
    <xf numFmtId="0" fontId="25" fillId="6" borderId="26" xfId="0" applyFont="1" applyFill="1" applyBorder="1" applyAlignment="1" applyProtection="1">
      <alignment vertical="center" wrapText="1"/>
    </xf>
    <xf numFmtId="164" fontId="16" fillId="0" borderId="29" xfId="0" applyNumberFormat="1" applyFont="1" applyBorder="1" applyAlignment="1" applyProtection="1">
      <alignment horizontal="center" vertical="center"/>
    </xf>
    <xf numFmtId="0" fontId="25" fillId="6" borderId="7" xfId="0" applyFont="1" applyFill="1" applyBorder="1" applyAlignment="1" applyProtection="1">
      <alignment vertical="center" wrapText="1"/>
    </xf>
    <xf numFmtId="164" fontId="16" fillId="0" borderId="6" xfId="0" applyNumberFormat="1" applyFont="1" applyBorder="1" applyAlignment="1" applyProtection="1">
      <alignment horizontal="center" vertical="center"/>
    </xf>
    <xf numFmtId="0" fontId="25" fillId="6" borderId="3" xfId="0" applyFont="1" applyFill="1" applyBorder="1" applyAlignment="1" applyProtection="1">
      <alignment vertical="center" wrapText="1"/>
    </xf>
    <xf numFmtId="164" fontId="16" fillId="0" borderId="2" xfId="0" applyNumberFormat="1" applyFont="1" applyBorder="1" applyAlignment="1" applyProtection="1">
      <alignment horizontal="center" vertical="center"/>
    </xf>
    <xf numFmtId="164" fontId="25" fillId="6" borderId="39" xfId="0" applyNumberFormat="1" applyFont="1" applyFill="1" applyBorder="1" applyAlignment="1" applyProtection="1">
      <alignment horizontal="center" vertical="center" wrapText="1"/>
    </xf>
    <xf numFmtId="2" fontId="25" fillId="6" borderId="32" xfId="0" applyNumberFormat="1" applyFont="1" applyFill="1" applyBorder="1" applyAlignment="1" applyProtection="1">
      <alignment horizontal="center" vertical="center" wrapText="1"/>
    </xf>
    <xf numFmtId="164" fontId="25" fillId="6" borderId="32" xfId="0" applyNumberFormat="1" applyFont="1" applyFill="1" applyBorder="1" applyAlignment="1" applyProtection="1">
      <alignment horizontal="center" vertical="center" wrapText="1"/>
    </xf>
    <xf numFmtId="0" fontId="25" fillId="6" borderId="32" xfId="0" applyFont="1" applyFill="1" applyBorder="1" applyAlignment="1" applyProtection="1">
      <alignment horizontal="center" vertical="center" wrapText="1"/>
    </xf>
    <xf numFmtId="0" fontId="17" fillId="0" borderId="7" xfId="0" applyFont="1" applyBorder="1" applyAlignment="1" applyProtection="1">
      <alignment horizontal="center" vertical="center"/>
    </xf>
    <xf numFmtId="0" fontId="16" fillId="0" borderId="6" xfId="0" applyFont="1" applyBorder="1" applyAlignment="1" applyProtection="1">
      <alignment vertical="center" wrapText="1"/>
    </xf>
    <xf numFmtId="9" fontId="16" fillId="0" borderId="6" xfId="0" applyNumberFormat="1" applyFont="1" applyBorder="1" applyAlignment="1" applyProtection="1">
      <alignment horizontal="center" vertical="center" wrapText="1"/>
    </xf>
    <xf numFmtId="0" fontId="16" fillId="0" borderId="6" xfId="0" applyFont="1" applyBorder="1" applyAlignment="1" applyProtection="1">
      <alignment horizontal="center" vertical="center"/>
    </xf>
    <xf numFmtId="0" fontId="16" fillId="0" borderId="6" xfId="0" applyFont="1" applyBorder="1" applyAlignment="1" applyProtection="1">
      <alignment vertical="center"/>
    </xf>
    <xf numFmtId="2" fontId="16" fillId="0" borderId="32" xfId="0" applyNumberFormat="1" applyFont="1" applyBorder="1" applyAlignment="1" applyProtection="1">
      <alignment horizontal="center" vertical="center"/>
    </xf>
    <xf numFmtId="0" fontId="40" fillId="0" borderId="2" xfId="0" applyFont="1" applyBorder="1" applyAlignment="1" applyProtection="1">
      <alignment vertical="center" wrapText="1"/>
    </xf>
    <xf numFmtId="0" fontId="17" fillId="0" borderId="2" xfId="0" applyFont="1" applyBorder="1" applyAlignment="1" applyProtection="1">
      <alignment vertical="center"/>
    </xf>
    <xf numFmtId="9" fontId="53" fillId="0" borderId="2" xfId="0" applyNumberFormat="1" applyFont="1" applyFill="1" applyBorder="1" applyAlignment="1" applyProtection="1">
      <alignment horizontal="center" vertical="center"/>
    </xf>
    <xf numFmtId="2" fontId="6" fillId="0" borderId="2" xfId="0" applyNumberFormat="1" applyFont="1" applyBorder="1" applyAlignment="1" applyProtection="1">
      <alignment horizontal="center" vertical="center"/>
    </xf>
    <xf numFmtId="2" fontId="6" fillId="0" borderId="1" xfId="0" applyNumberFormat="1" applyFont="1" applyBorder="1" applyAlignment="1" applyProtection="1">
      <alignment horizontal="center" vertical="center"/>
    </xf>
    <xf numFmtId="9" fontId="44" fillId="6" borderId="0" xfId="0" applyNumberFormat="1" applyFont="1" applyFill="1" applyBorder="1" applyAlignment="1" applyProtection="1">
      <alignment horizontal="center" vertical="center"/>
    </xf>
    <xf numFmtId="9" fontId="16" fillId="0" borderId="2" xfId="0" applyNumberFormat="1" applyFont="1" applyBorder="1" applyAlignment="1" applyProtection="1">
      <alignment horizontal="center" vertical="center" wrapText="1"/>
    </xf>
    <xf numFmtId="9" fontId="54" fillId="0" borderId="2" xfId="0" applyNumberFormat="1" applyFont="1" applyFill="1" applyBorder="1" applyAlignment="1" applyProtection="1">
      <alignment horizontal="center" vertical="center"/>
    </xf>
    <xf numFmtId="2" fontId="17" fillId="0" borderId="2" xfId="0" applyNumberFormat="1" applyFont="1" applyBorder="1" applyAlignment="1" applyProtection="1">
      <alignment horizontal="center" vertical="center"/>
    </xf>
    <xf numFmtId="0" fontId="17" fillId="6" borderId="0" xfId="0" applyFont="1" applyFill="1" applyBorder="1" applyAlignment="1" applyProtection="1">
      <alignment horizontal="center" vertical="center"/>
    </xf>
    <xf numFmtId="2" fontId="16" fillId="6" borderId="0" xfId="0" applyNumberFormat="1" applyFont="1" applyFill="1" applyBorder="1" applyAlignment="1" applyProtection="1">
      <alignment vertical="center"/>
    </xf>
    <xf numFmtId="0" fontId="16" fillId="0" borderId="2" xfId="0" applyFont="1" applyBorder="1" applyAlignment="1" applyProtection="1">
      <alignment vertical="center"/>
    </xf>
    <xf numFmtId="9" fontId="44" fillId="0" borderId="2" xfId="0" applyNumberFormat="1" applyFont="1" applyFill="1" applyBorder="1" applyAlignment="1" applyProtection="1">
      <alignment horizontal="center" vertical="center"/>
    </xf>
    <xf numFmtId="0" fontId="55" fillId="6" borderId="0" xfId="0" applyFont="1" applyFill="1" applyAlignment="1">
      <alignment vertical="center"/>
    </xf>
    <xf numFmtId="0" fontId="55" fillId="0" borderId="0" xfId="0" applyFont="1" applyAlignment="1">
      <alignment vertical="center"/>
    </xf>
    <xf numFmtId="0" fontId="56" fillId="0" borderId="0" xfId="0" applyFont="1" applyAlignment="1">
      <alignment vertical="center"/>
    </xf>
    <xf numFmtId="0" fontId="55" fillId="0" borderId="0" xfId="0" applyFont="1" applyFill="1" applyAlignment="1">
      <alignment vertical="center"/>
    </xf>
    <xf numFmtId="0" fontId="55" fillId="0" borderId="0" xfId="0" applyFont="1" applyAlignment="1">
      <alignment horizontal="center" vertical="center"/>
    </xf>
    <xf numFmtId="0" fontId="55" fillId="0" borderId="0" xfId="0" applyFont="1" applyAlignment="1" applyProtection="1">
      <alignment horizontal="center" vertical="center"/>
      <protection locked="0"/>
    </xf>
    <xf numFmtId="0" fontId="15" fillId="6" borderId="0" xfId="0" applyFont="1" applyFill="1" applyBorder="1" applyAlignment="1" applyProtection="1">
      <alignment vertical="center"/>
    </xf>
    <xf numFmtId="0" fontId="40" fillId="6" borderId="0" xfId="0" applyFont="1" applyFill="1" applyBorder="1" applyAlignment="1" applyProtection="1">
      <alignment vertical="center" wrapText="1"/>
    </xf>
    <xf numFmtId="0" fontId="6" fillId="6" borderId="0" xfId="0" applyFont="1" applyFill="1" applyBorder="1" applyAlignment="1" applyProtection="1">
      <alignment vertical="center" wrapText="1"/>
    </xf>
    <xf numFmtId="164" fontId="15" fillId="6" borderId="6" xfId="0" applyNumberFormat="1" applyFont="1" applyFill="1" applyBorder="1" applyAlignment="1" applyProtection="1">
      <alignment horizontal="center" vertical="center"/>
    </xf>
    <xf numFmtId="0" fontId="9" fillId="0" borderId="79" xfId="0" applyFont="1" applyBorder="1" applyAlignment="1" applyProtection="1">
      <alignment horizontal="center" vertical="center"/>
    </xf>
    <xf numFmtId="0" fontId="17" fillId="0" borderId="65" xfId="0" applyFont="1" applyBorder="1" applyAlignment="1" applyProtection="1">
      <alignment horizontal="center" vertical="center" wrapText="1"/>
    </xf>
    <xf numFmtId="0" fontId="17" fillId="0" borderId="80" xfId="0" applyFont="1" applyBorder="1" applyAlignment="1" applyProtection="1">
      <alignment horizontal="center" vertical="center" wrapText="1"/>
    </xf>
    <xf numFmtId="0" fontId="17" fillId="0" borderId="80" xfId="0" applyFont="1" applyFill="1" applyBorder="1" applyAlignment="1" applyProtection="1">
      <alignment horizontal="center" vertical="center"/>
    </xf>
    <xf numFmtId="0" fontId="6" fillId="0" borderId="80" xfId="0" applyFont="1" applyBorder="1" applyAlignment="1" applyProtection="1">
      <alignment vertical="center" wrapText="1"/>
    </xf>
    <xf numFmtId="0" fontId="0" fillId="6" borderId="0" xfId="0" applyFill="1" applyBorder="1" applyAlignment="1" applyProtection="1">
      <alignment horizontal="center" vertical="center" wrapText="1"/>
    </xf>
    <xf numFmtId="0" fontId="39" fillId="6" borderId="0" xfId="0" applyFont="1" applyFill="1" applyBorder="1" applyAlignment="1">
      <alignment horizontal="left" vertical="center"/>
    </xf>
    <xf numFmtId="0" fontId="0" fillId="6" borderId="0" xfId="0" applyFill="1" applyBorder="1" applyAlignment="1" applyProtection="1">
      <alignment vertical="center" wrapText="1"/>
    </xf>
    <xf numFmtId="0" fontId="0" fillId="6" borderId="0" xfId="0" applyFill="1" applyBorder="1" applyAlignment="1">
      <alignment vertical="center"/>
    </xf>
    <xf numFmtId="0" fontId="16" fillId="6" borderId="0" xfId="0" applyFont="1" applyFill="1" applyBorder="1" applyAlignment="1">
      <alignment vertical="center"/>
    </xf>
    <xf numFmtId="0" fontId="40" fillId="6" borderId="0" xfId="0" applyFont="1" applyFill="1" applyBorder="1" applyAlignment="1" applyProtection="1">
      <alignment horizontal="center" vertical="center"/>
    </xf>
    <xf numFmtId="2" fontId="25" fillId="6" borderId="0" xfId="0" applyNumberFormat="1" applyFont="1" applyFill="1" applyBorder="1" applyAlignment="1" applyProtection="1">
      <alignment horizontal="center" vertical="center" wrapText="1"/>
    </xf>
    <xf numFmtId="2" fontId="47" fillId="6" borderId="0" xfId="0" applyNumberFormat="1" applyFont="1" applyFill="1" applyBorder="1" applyAlignment="1" applyProtection="1">
      <alignment horizontal="center" vertical="center" wrapText="1"/>
    </xf>
    <xf numFmtId="164" fontId="0" fillId="0" borderId="55" xfId="0" applyNumberFormat="1" applyFont="1" applyFill="1" applyBorder="1" applyAlignment="1">
      <alignment horizontal="center" vertical="center" wrapText="1"/>
    </xf>
    <xf numFmtId="0" fontId="0" fillId="0" borderId="55" xfId="0" applyBorder="1" applyAlignment="1">
      <alignment horizontal="center"/>
    </xf>
    <xf numFmtId="0" fontId="52" fillId="6" borderId="0" xfId="0" applyFont="1" applyFill="1" applyBorder="1" applyAlignment="1" applyProtection="1"/>
    <xf numFmtId="0" fontId="58" fillId="0" borderId="6" xfId="0" applyFont="1" applyBorder="1" applyAlignment="1">
      <alignment horizontal="left"/>
    </xf>
    <xf numFmtId="0" fontId="6" fillId="6" borderId="43" xfId="0" applyFont="1" applyFill="1" applyBorder="1" applyAlignment="1" applyProtection="1">
      <alignment horizontal="center" vertical="center"/>
    </xf>
    <xf numFmtId="2" fontId="9" fillId="0" borderId="58" xfId="0" applyNumberFormat="1" applyFont="1" applyBorder="1" applyAlignment="1" applyProtection="1">
      <alignment horizontal="center" vertical="center"/>
    </xf>
    <xf numFmtId="0" fontId="16" fillId="0" borderId="60" xfId="0" applyFont="1" applyFill="1" applyBorder="1" applyAlignment="1" applyProtection="1">
      <alignment vertical="center" wrapText="1"/>
    </xf>
    <xf numFmtId="0" fontId="16" fillId="0" borderId="66" xfId="0" applyFont="1" applyFill="1" applyBorder="1" applyAlignment="1" applyProtection="1">
      <alignment vertical="center"/>
    </xf>
    <xf numFmtId="2" fontId="16" fillId="0" borderId="60" xfId="0" applyNumberFormat="1" applyFont="1" applyFill="1" applyBorder="1" applyAlignment="1" applyProtection="1">
      <alignment horizontal="center" vertical="center"/>
    </xf>
    <xf numFmtId="2" fontId="16" fillId="0" borderId="65" xfId="0" applyNumberFormat="1" applyFont="1" applyFill="1" applyBorder="1" applyAlignment="1" applyProtection="1">
      <alignment horizontal="center" vertical="center"/>
    </xf>
    <xf numFmtId="2" fontId="16" fillId="0" borderId="66" xfId="0" applyNumberFormat="1" applyFont="1" applyFill="1" applyBorder="1" applyAlignment="1" applyProtection="1">
      <alignment horizontal="center" vertical="center"/>
    </xf>
    <xf numFmtId="2" fontId="17" fillId="0" borderId="60" xfId="0" applyNumberFormat="1" applyFont="1" applyBorder="1" applyAlignment="1" applyProtection="1">
      <alignment horizontal="center" vertical="center"/>
    </xf>
    <xf numFmtId="2" fontId="17" fillId="0" borderId="65" xfId="0" applyNumberFormat="1" applyFont="1" applyBorder="1" applyAlignment="1" applyProtection="1">
      <alignment horizontal="center" vertical="center"/>
    </xf>
    <xf numFmtId="2" fontId="17" fillId="0" borderId="66" xfId="0" applyNumberFormat="1" applyFont="1" applyBorder="1" applyAlignment="1" applyProtection="1">
      <alignment horizontal="center" vertical="center"/>
    </xf>
    <xf numFmtId="2" fontId="16" fillId="0" borderId="79" xfId="0" applyNumberFormat="1" applyFont="1" applyBorder="1" applyAlignment="1" applyProtection="1">
      <alignment horizontal="center" vertical="center"/>
    </xf>
    <xf numFmtId="2" fontId="16" fillId="0" borderId="80" xfId="0" applyNumberFormat="1" applyFont="1" applyBorder="1" applyAlignment="1" applyProtection="1">
      <alignment horizontal="center" vertical="center"/>
    </xf>
    <xf numFmtId="2" fontId="16" fillId="0" borderId="81" xfId="0" applyNumberFormat="1" applyFont="1" applyBorder="1" applyAlignment="1" applyProtection="1">
      <alignment horizontal="center" vertical="center"/>
    </xf>
    <xf numFmtId="0" fontId="16" fillId="0" borderId="5" xfId="0" applyFont="1" applyFill="1" applyBorder="1" applyAlignment="1" applyProtection="1">
      <alignment vertical="center" wrapText="1"/>
    </xf>
    <xf numFmtId="0" fontId="16" fillId="0" borderId="1" xfId="0" applyFont="1" applyFill="1" applyBorder="1" applyAlignment="1" applyProtection="1">
      <alignment vertical="center" wrapText="1"/>
    </xf>
    <xf numFmtId="2" fontId="16" fillId="0" borderId="3" xfId="0" applyNumberFormat="1" applyFont="1" applyFill="1" applyBorder="1" applyAlignment="1" applyProtection="1">
      <alignment horizontal="center" vertical="center"/>
    </xf>
    <xf numFmtId="2" fontId="16" fillId="0" borderId="2" xfId="0" applyNumberFormat="1"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2" fontId="16" fillId="0" borderId="3" xfId="0" applyNumberFormat="1" applyFont="1" applyBorder="1" applyAlignment="1" applyProtection="1">
      <alignment horizontal="center" vertical="center"/>
    </xf>
    <xf numFmtId="2" fontId="16" fillId="0" borderId="2" xfId="0" applyNumberFormat="1" applyFont="1" applyBorder="1" applyAlignment="1" applyProtection="1">
      <alignment horizontal="center" vertical="center"/>
    </xf>
    <xf numFmtId="2" fontId="16" fillId="0" borderId="1" xfId="0" applyNumberFormat="1" applyFont="1" applyBorder="1" applyAlignment="1" applyProtection="1">
      <alignment horizontal="center" vertical="center"/>
    </xf>
    <xf numFmtId="0" fontId="16" fillId="0" borderId="84" xfId="0" applyFont="1" applyFill="1" applyBorder="1" applyAlignment="1" applyProtection="1">
      <alignment vertical="center" wrapText="1"/>
    </xf>
    <xf numFmtId="2" fontId="16" fillId="0" borderId="47" xfId="0" applyNumberFormat="1" applyFont="1" applyFill="1" applyBorder="1" applyAlignment="1" applyProtection="1">
      <alignment horizontal="center" vertical="center"/>
    </xf>
    <xf numFmtId="2" fontId="16" fillId="0" borderId="46" xfId="0" applyNumberFormat="1" applyFont="1" applyFill="1" applyBorder="1" applyAlignment="1" applyProtection="1">
      <alignment horizontal="center" vertical="center"/>
    </xf>
    <xf numFmtId="2" fontId="16" fillId="0" borderId="84" xfId="0" applyNumberFormat="1" applyFont="1" applyFill="1" applyBorder="1" applyAlignment="1" applyProtection="1">
      <alignment horizontal="center" vertical="center"/>
    </xf>
    <xf numFmtId="2" fontId="16" fillId="0" borderId="82" xfId="0" applyNumberFormat="1" applyFont="1" applyFill="1" applyBorder="1" applyAlignment="1" applyProtection="1">
      <alignment horizontal="center" vertical="center"/>
    </xf>
    <xf numFmtId="2" fontId="16" fillId="0" borderId="38" xfId="0" applyNumberFormat="1" applyFont="1" applyFill="1" applyBorder="1" applyAlignment="1" applyProtection="1">
      <alignment horizontal="center" vertical="center"/>
    </xf>
    <xf numFmtId="2" fontId="16" fillId="0" borderId="39" xfId="0" applyNumberFormat="1" applyFont="1" applyFill="1" applyBorder="1" applyAlignment="1" applyProtection="1">
      <alignment horizontal="center" vertical="center"/>
    </xf>
    <xf numFmtId="0" fontId="17" fillId="0" borderId="81" xfId="0" applyFont="1" applyBorder="1" applyAlignment="1" applyProtection="1">
      <alignment horizontal="center" vertical="center"/>
    </xf>
    <xf numFmtId="9" fontId="16" fillId="0" borderId="2" xfId="0" applyNumberFormat="1" applyFont="1" applyBorder="1" applyAlignment="1" applyProtection="1">
      <alignment horizontal="center" vertical="center"/>
    </xf>
    <xf numFmtId="2" fontId="16" fillId="0" borderId="69" xfId="0" applyNumberFormat="1" applyFont="1" applyBorder="1" applyAlignment="1" applyProtection="1">
      <alignment horizontal="center" vertical="center"/>
    </xf>
    <xf numFmtId="9" fontId="16" fillId="0" borderId="29" xfId="0" applyNumberFormat="1" applyFont="1" applyBorder="1" applyAlignment="1" applyProtection="1">
      <alignment horizontal="center" vertical="center"/>
    </xf>
    <xf numFmtId="2" fontId="9" fillId="0" borderId="51" xfId="0" applyNumberFormat="1" applyFont="1" applyBorder="1" applyAlignment="1" applyProtection="1">
      <alignment horizontal="center" vertical="center"/>
    </xf>
    <xf numFmtId="2" fontId="9" fillId="0" borderId="85" xfId="0" applyNumberFormat="1" applyFont="1" applyBorder="1" applyAlignment="1" applyProtection="1">
      <alignment horizontal="center" vertical="center"/>
    </xf>
    <xf numFmtId="0" fontId="6" fillId="0" borderId="79" xfId="0" applyFont="1" applyBorder="1" applyAlignment="1">
      <alignment vertical="center"/>
    </xf>
    <xf numFmtId="0" fontId="6" fillId="0" borderId="3" xfId="0" applyFont="1" applyBorder="1" applyAlignment="1">
      <alignment vertical="center"/>
    </xf>
    <xf numFmtId="0" fontId="15" fillId="6" borderId="0" xfId="0" applyFont="1" applyFill="1" applyBorder="1" applyAlignment="1">
      <alignment vertical="center"/>
    </xf>
    <xf numFmtId="0" fontId="16" fillId="0" borderId="6" xfId="0" applyFont="1" applyBorder="1" applyAlignment="1">
      <alignment vertical="center"/>
    </xf>
    <xf numFmtId="0" fontId="16" fillId="0" borderId="5" xfId="0" applyFont="1" applyBorder="1" applyAlignment="1">
      <alignment vertical="center"/>
    </xf>
    <xf numFmtId="2" fontId="16" fillId="8" borderId="6" xfId="0" applyNumberFormat="1" applyFont="1" applyFill="1" applyBorder="1" applyAlignment="1">
      <alignment horizontal="center" vertical="center"/>
    </xf>
    <xf numFmtId="2" fontId="16" fillId="9" borderId="6" xfId="0" applyNumberFormat="1" applyFont="1" applyFill="1" applyBorder="1" applyAlignment="1">
      <alignment horizontal="center" vertical="center"/>
    </xf>
    <xf numFmtId="0" fontId="17" fillId="0" borderId="6" xfId="0" applyFont="1" applyBorder="1" applyAlignment="1">
      <alignment horizontal="center" vertical="center"/>
    </xf>
    <xf numFmtId="2" fontId="17" fillId="0" borderId="6" xfId="0" applyNumberFormat="1" applyFont="1" applyBorder="1" applyAlignment="1">
      <alignment horizontal="center" vertical="center"/>
    </xf>
    <xf numFmtId="2" fontId="16" fillId="10" borderId="6" xfId="0" applyNumberFormat="1" applyFont="1" applyFill="1" applyBorder="1" applyAlignment="1">
      <alignment horizontal="center" vertical="center"/>
    </xf>
    <xf numFmtId="0" fontId="16" fillId="0" borderId="32" xfId="0" applyFont="1" applyBorder="1" applyAlignment="1">
      <alignment vertical="center"/>
    </xf>
    <xf numFmtId="2" fontId="16" fillId="6" borderId="50" xfId="0" applyNumberFormat="1" applyFont="1" applyFill="1" applyBorder="1" applyAlignment="1" applyProtection="1">
      <alignment horizontal="center" vertical="center" wrapText="1"/>
    </xf>
    <xf numFmtId="2" fontId="25" fillId="6" borderId="50" xfId="0" applyNumberFormat="1" applyFont="1" applyFill="1" applyBorder="1" applyAlignment="1" applyProtection="1">
      <alignment horizontal="center" vertical="center" wrapText="1"/>
    </xf>
    <xf numFmtId="0" fontId="16" fillId="7" borderId="77" xfId="0" applyFont="1" applyFill="1" applyBorder="1" applyAlignment="1" applyProtection="1">
      <alignment horizontal="center" vertical="center"/>
      <protection locked="0"/>
    </xf>
    <xf numFmtId="0" fontId="16" fillId="7" borderId="21" xfId="0" applyFont="1" applyFill="1" applyBorder="1" applyAlignment="1" applyProtection="1">
      <alignment horizontal="center" vertical="center"/>
      <protection locked="0"/>
    </xf>
    <xf numFmtId="0" fontId="16" fillId="7" borderId="20"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0" fontId="16" fillId="7" borderId="30" xfId="0" applyFont="1" applyFill="1" applyBorder="1" applyAlignment="1" applyProtection="1">
      <alignment horizontal="center" vertical="center"/>
      <protection locked="0"/>
    </xf>
    <xf numFmtId="0" fontId="16" fillId="7" borderId="83" xfId="0" applyFont="1" applyFill="1" applyBorder="1" applyAlignment="1" applyProtection="1">
      <alignment horizontal="center" vertical="center" wrapText="1"/>
      <protection locked="0"/>
    </xf>
    <xf numFmtId="0" fontId="16" fillId="7" borderId="42"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43" xfId="0" applyFont="1" applyFill="1" applyBorder="1" applyAlignment="1" applyProtection="1">
      <alignment horizontal="center" vertical="center"/>
      <protection locked="0"/>
    </xf>
    <xf numFmtId="0" fontId="16" fillId="7" borderId="22" xfId="0" applyFont="1" applyFill="1" applyBorder="1" applyAlignment="1" applyProtection="1">
      <alignment horizontal="center" vertical="center"/>
      <protection locked="0"/>
    </xf>
    <xf numFmtId="0" fontId="16" fillId="7" borderId="44" xfId="0" applyFont="1" applyFill="1" applyBorder="1" applyAlignment="1" applyProtection="1">
      <alignment horizontal="center" vertical="center"/>
      <protection locked="0"/>
    </xf>
    <xf numFmtId="0" fontId="16" fillId="7" borderId="8" xfId="0" applyFont="1" applyFill="1" applyBorder="1" applyAlignment="1" applyProtection="1">
      <alignment horizontal="center" vertical="center"/>
      <protection locked="0"/>
    </xf>
    <xf numFmtId="0" fontId="16" fillId="7" borderId="86" xfId="0" applyFont="1" applyFill="1" applyBorder="1" applyAlignment="1" applyProtection="1">
      <alignment horizontal="center" vertical="center"/>
      <protection locked="0"/>
    </xf>
    <xf numFmtId="0" fontId="17" fillId="0" borderId="83" xfId="0" applyFont="1" applyFill="1" applyBorder="1" applyAlignment="1" applyProtection="1">
      <alignment horizontal="center" vertical="center" wrapText="1"/>
    </xf>
    <xf numFmtId="164" fontId="9" fillId="7" borderId="28" xfId="0" applyNumberFormat="1" applyFont="1" applyFill="1" applyBorder="1" applyAlignment="1" applyProtection="1">
      <alignment horizontal="center" vertical="center"/>
      <protection locked="0"/>
    </xf>
    <xf numFmtId="0" fontId="16" fillId="6" borderId="26" xfId="0" applyFont="1" applyFill="1" applyBorder="1" applyAlignment="1" applyProtection="1">
      <alignment horizontal="center" vertical="center"/>
    </xf>
    <xf numFmtId="9" fontId="16" fillId="6" borderId="29" xfId="0" applyNumberFormat="1"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protection locked="0"/>
    </xf>
    <xf numFmtId="9" fontId="16" fillId="0" borderId="27" xfId="0" applyNumberFormat="1" applyFont="1" applyFill="1" applyBorder="1" applyAlignment="1" applyProtection="1">
      <alignment horizontal="center" vertical="center"/>
    </xf>
    <xf numFmtId="0" fontId="16" fillId="7" borderId="32" xfId="0" applyFont="1" applyFill="1" applyBorder="1" applyAlignment="1" applyProtection="1">
      <alignment horizontal="center" vertical="center"/>
      <protection locked="0"/>
    </xf>
    <xf numFmtId="0" fontId="16" fillId="6" borderId="29" xfId="0" applyFont="1" applyFill="1" applyBorder="1" applyAlignment="1" applyProtection="1">
      <alignment vertical="center"/>
    </xf>
    <xf numFmtId="0" fontId="16" fillId="6" borderId="37" xfId="0" applyFont="1" applyFill="1" applyBorder="1" applyAlignment="1" applyProtection="1">
      <alignment vertical="center"/>
    </xf>
    <xf numFmtId="0" fontId="17" fillId="6" borderId="88" xfId="0" applyFont="1" applyFill="1" applyBorder="1" applyAlignment="1" applyProtection="1">
      <alignment vertical="center" wrapText="1"/>
    </xf>
    <xf numFmtId="0" fontId="17" fillId="6" borderId="74" xfId="0" applyFont="1" applyFill="1" applyBorder="1" applyAlignment="1" applyProtection="1">
      <alignment vertical="center" wrapText="1"/>
    </xf>
    <xf numFmtId="0" fontId="40" fillId="6" borderId="75" xfId="0" applyFont="1" applyFill="1" applyBorder="1" applyAlignment="1" applyProtection="1">
      <alignment vertical="center" wrapText="1"/>
    </xf>
    <xf numFmtId="2" fontId="9" fillId="6" borderId="62" xfId="0" applyNumberFormat="1" applyFont="1" applyFill="1" applyBorder="1" applyAlignment="1" applyProtection="1">
      <alignment horizontal="center" vertical="center"/>
    </xf>
    <xf numFmtId="2" fontId="9" fillId="6" borderId="63" xfId="0" applyNumberFormat="1" applyFont="1" applyFill="1" applyBorder="1" applyAlignment="1" applyProtection="1">
      <alignment horizontal="center" vertical="center"/>
    </xf>
    <xf numFmtId="2" fontId="17" fillId="6" borderId="29" xfId="0" applyNumberFormat="1" applyFont="1" applyFill="1" applyBorder="1" applyAlignment="1" applyProtection="1">
      <alignment horizontal="center" vertical="center"/>
    </xf>
    <xf numFmtId="0" fontId="40" fillId="6" borderId="74" xfId="0" applyFont="1" applyFill="1" applyBorder="1" applyAlignment="1" applyProtection="1">
      <alignment vertical="center" wrapText="1"/>
    </xf>
    <xf numFmtId="0" fontId="16" fillId="7" borderId="2" xfId="0" applyFont="1" applyFill="1" applyBorder="1" applyAlignment="1" applyProtection="1">
      <alignment horizontal="center" vertical="center"/>
      <protection locked="0"/>
    </xf>
    <xf numFmtId="0" fontId="9" fillId="7" borderId="29" xfId="0" applyFont="1" applyFill="1" applyBorder="1" applyAlignment="1" applyProtection="1">
      <alignment horizontal="center" vertical="center"/>
      <protection locked="0"/>
    </xf>
    <xf numFmtId="0" fontId="9" fillId="7" borderId="6" xfId="0" applyFont="1" applyFill="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9" fillId="7" borderId="26"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protection locked="0"/>
    </xf>
    <xf numFmtId="0" fontId="17" fillId="6"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15" fillId="6" borderId="6" xfId="0" applyFont="1" applyFill="1" applyBorder="1" applyAlignment="1" applyProtection="1">
      <alignment vertical="center"/>
    </xf>
    <xf numFmtId="0" fontId="6" fillId="6" borderId="79" xfId="0" applyFont="1" applyFill="1" applyBorder="1" applyAlignment="1" applyProtection="1">
      <alignment vertical="center"/>
    </xf>
    <xf numFmtId="0" fontId="15" fillId="6" borderId="80" xfId="0" applyFont="1" applyFill="1" applyBorder="1" applyAlignment="1" applyProtection="1">
      <alignment vertical="center"/>
    </xf>
    <xf numFmtId="0" fontId="15" fillId="6" borderId="81" xfId="0" applyFont="1" applyFill="1" applyBorder="1" applyAlignment="1" applyProtection="1">
      <alignment vertical="center"/>
    </xf>
    <xf numFmtId="0" fontId="15" fillId="6" borderId="7" xfId="0" applyFont="1" applyFill="1" applyBorder="1" applyAlignment="1" applyProtection="1">
      <alignment vertical="center"/>
    </xf>
    <xf numFmtId="0" fontId="15" fillId="6" borderId="5" xfId="0" applyFont="1" applyFill="1" applyBorder="1" applyAlignment="1" applyProtection="1">
      <alignment vertical="center"/>
    </xf>
    <xf numFmtId="0" fontId="6" fillId="6" borderId="3" xfId="0" applyFont="1" applyFill="1" applyBorder="1" applyAlignment="1" applyProtection="1">
      <alignment vertical="center"/>
    </xf>
    <xf numFmtId="164" fontId="6" fillId="6" borderId="2" xfId="0" applyNumberFormat="1" applyFont="1" applyFill="1" applyBorder="1" applyAlignment="1" applyProtection="1">
      <alignment horizontal="center" vertical="center"/>
    </xf>
    <xf numFmtId="2" fontId="6" fillId="6" borderId="2" xfId="0" applyNumberFormat="1" applyFont="1" applyFill="1" applyBorder="1" applyAlignment="1" applyProtection="1">
      <alignment horizontal="center" vertical="center"/>
    </xf>
    <xf numFmtId="0" fontId="15" fillId="6" borderId="2" xfId="0" applyFont="1" applyFill="1" applyBorder="1" applyAlignment="1" applyProtection="1">
      <alignment vertical="center"/>
    </xf>
    <xf numFmtId="2" fontId="15" fillId="6" borderId="6" xfId="0" applyNumberFormat="1" applyFont="1" applyFill="1" applyBorder="1" applyAlignment="1" applyProtection="1">
      <alignment horizontal="center" vertical="center"/>
    </xf>
    <xf numFmtId="0" fontId="6" fillId="0" borderId="65" xfId="0" applyFont="1" applyBorder="1" applyAlignment="1" applyProtection="1">
      <alignment horizontal="left" vertical="center" wrapText="1"/>
    </xf>
    <xf numFmtId="2" fontId="15" fillId="0" borderId="6" xfId="0" applyNumberFormat="1" applyFont="1" applyBorder="1" applyAlignment="1" applyProtection="1">
      <alignment horizontal="center" vertical="center"/>
    </xf>
    <xf numFmtId="0" fontId="15" fillId="6" borderId="5" xfId="0" applyFont="1" applyFill="1" applyBorder="1" applyAlignment="1" applyProtection="1">
      <alignment horizontal="left" vertical="center"/>
    </xf>
    <xf numFmtId="0" fontId="15" fillId="6" borderId="1" xfId="0" applyFont="1" applyFill="1" applyBorder="1" applyAlignment="1" applyProtection="1">
      <alignment vertical="center"/>
    </xf>
    <xf numFmtId="0" fontId="15" fillId="0" borderId="5" xfId="0" applyFont="1" applyFill="1" applyBorder="1" applyAlignment="1" applyProtection="1">
      <alignment vertical="center"/>
    </xf>
    <xf numFmtId="164" fontId="15" fillId="7" borderId="6" xfId="0" applyNumberFormat="1" applyFont="1" applyFill="1" applyBorder="1" applyAlignment="1" applyProtection="1">
      <alignment horizontal="center" vertical="center"/>
      <protection locked="0"/>
    </xf>
    <xf numFmtId="0" fontId="15" fillId="7" borderId="2" xfId="0" applyFont="1" applyFill="1" applyBorder="1" applyAlignment="1" applyProtection="1">
      <alignment horizontal="center" vertical="center"/>
      <protection locked="0"/>
    </xf>
    <xf numFmtId="0" fontId="25" fillId="0" borderId="87" xfId="0" applyFont="1" applyFill="1" applyBorder="1" applyAlignment="1" applyProtection="1">
      <alignment vertical="center" wrapText="1"/>
    </xf>
    <xf numFmtId="164" fontId="25" fillId="0" borderId="61" xfId="0" applyNumberFormat="1" applyFont="1" applyFill="1" applyBorder="1" applyAlignment="1" applyProtection="1">
      <alignment horizontal="center" vertical="center" wrapText="1"/>
    </xf>
    <xf numFmtId="2" fontId="25" fillId="0" borderId="62" xfId="0" applyNumberFormat="1" applyFont="1" applyFill="1" applyBorder="1" applyAlignment="1" applyProtection="1">
      <alignment horizontal="center" vertical="center" wrapText="1"/>
    </xf>
    <xf numFmtId="164" fontId="25" fillId="0" borderId="62" xfId="0" applyNumberFormat="1" applyFont="1" applyFill="1" applyBorder="1" applyAlignment="1" applyProtection="1">
      <alignment horizontal="center" vertical="center" wrapText="1"/>
    </xf>
    <xf numFmtId="0" fontId="25" fillId="0" borderId="62" xfId="0" applyFont="1" applyFill="1" applyBorder="1" applyAlignment="1" applyProtection="1">
      <alignment horizontal="center" vertical="center" wrapText="1"/>
    </xf>
    <xf numFmtId="0" fontId="25" fillId="0" borderId="63" xfId="0" applyFont="1" applyFill="1" applyBorder="1" applyAlignment="1" applyProtection="1">
      <alignment horizontal="center" vertical="center" wrapText="1"/>
    </xf>
    <xf numFmtId="0" fontId="16" fillId="0" borderId="0" xfId="0" applyFont="1" applyFill="1" applyBorder="1" applyAlignment="1" applyProtection="1">
      <alignment vertical="center"/>
    </xf>
    <xf numFmtId="2" fontId="6" fillId="6" borderId="0" xfId="0" applyNumberFormat="1"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2" fontId="15" fillId="6" borderId="0" xfId="0" applyNumberFormat="1" applyFont="1" applyFill="1" applyBorder="1" applyAlignment="1" applyProtection="1">
      <alignment horizontal="center" vertical="center"/>
    </xf>
    <xf numFmtId="0" fontId="15" fillId="6" borderId="0" xfId="0" applyFont="1" applyFill="1" applyBorder="1" applyAlignment="1" applyProtection="1">
      <alignment horizontal="left" vertical="center" indent="1"/>
    </xf>
    <xf numFmtId="0" fontId="16" fillId="6" borderId="0" xfId="0" applyFont="1" applyFill="1" applyBorder="1" applyAlignment="1" applyProtection="1"/>
    <xf numFmtId="0" fontId="15" fillId="6" borderId="0" xfId="0" applyFont="1" applyFill="1" applyBorder="1" applyAlignment="1" applyProtection="1">
      <alignment horizontal="left" vertical="center" indent="2"/>
    </xf>
    <xf numFmtId="0" fontId="3" fillId="0" borderId="0" xfId="0" applyFont="1" applyFill="1" applyBorder="1" applyAlignment="1">
      <alignment vertical="center" wrapText="1"/>
    </xf>
    <xf numFmtId="164" fontId="0" fillId="0" borderId="0"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0" fontId="0" fillId="0" borderId="0" xfId="0" applyBorder="1" applyAlignment="1">
      <alignment horizontal="center"/>
    </xf>
    <xf numFmtId="0" fontId="15" fillId="6"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protection locked="0"/>
    </xf>
    <xf numFmtId="0" fontId="57" fillId="6" borderId="50" xfId="0" applyFont="1" applyFill="1" applyBorder="1" applyAlignment="1" applyProtection="1">
      <alignment horizontal="center" vertical="center" wrapText="1"/>
    </xf>
    <xf numFmtId="0" fontId="57" fillId="6" borderId="2" xfId="0" applyFont="1" applyFill="1" applyBorder="1" applyAlignment="1" applyProtection="1">
      <alignment horizontal="center" vertical="center" wrapText="1"/>
    </xf>
    <xf numFmtId="0" fontId="57" fillId="6" borderId="1" xfId="0" applyFont="1" applyFill="1" applyBorder="1" applyAlignment="1" applyProtection="1">
      <alignment horizontal="center" vertical="center" wrapText="1"/>
    </xf>
    <xf numFmtId="0" fontId="57" fillId="0" borderId="87" xfId="0" applyFont="1" applyFill="1" applyBorder="1" applyAlignment="1" applyProtection="1">
      <alignment vertical="center" wrapText="1"/>
    </xf>
    <xf numFmtId="164" fontId="57" fillId="0" borderId="61" xfId="0" applyNumberFormat="1" applyFont="1" applyFill="1" applyBorder="1" applyAlignment="1" applyProtection="1">
      <alignment horizontal="center" vertical="center" wrapText="1"/>
    </xf>
    <xf numFmtId="2" fontId="57" fillId="0" borderId="62" xfId="0" applyNumberFormat="1" applyFont="1" applyFill="1" applyBorder="1" applyAlignment="1" applyProtection="1">
      <alignment horizontal="center" vertical="center" wrapText="1"/>
    </xf>
    <xf numFmtId="164" fontId="57" fillId="0" borderId="62" xfId="0" applyNumberFormat="1" applyFont="1" applyFill="1" applyBorder="1" applyAlignment="1" applyProtection="1">
      <alignment horizontal="center" vertical="center" wrapText="1"/>
    </xf>
    <xf numFmtId="0" fontId="57" fillId="0" borderId="6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wrapText="1"/>
    </xf>
    <xf numFmtId="164" fontId="16" fillId="6" borderId="29" xfId="0" applyNumberFormat="1" applyFont="1" applyFill="1" applyBorder="1" applyAlignment="1" applyProtection="1">
      <alignment horizontal="center" vertical="center" wrapText="1"/>
    </xf>
    <xf numFmtId="164" fontId="16" fillId="6" borderId="6" xfId="0" applyNumberFormat="1" applyFont="1" applyFill="1" applyBorder="1" applyAlignment="1" applyProtection="1">
      <alignment horizontal="center" vertical="center" wrapText="1"/>
    </xf>
    <xf numFmtId="164" fontId="16" fillId="6" borderId="2" xfId="0" applyNumberFormat="1" applyFont="1" applyFill="1" applyBorder="1" applyAlignment="1" applyProtection="1">
      <alignment horizontal="center" vertical="center" wrapText="1"/>
    </xf>
    <xf numFmtId="0" fontId="3" fillId="6" borderId="0" xfId="0" applyFont="1" applyFill="1" applyAlignment="1">
      <alignment vertical="center"/>
    </xf>
    <xf numFmtId="2" fontId="9" fillId="0" borderId="72" xfId="0" applyNumberFormat="1" applyFont="1" applyBorder="1" applyAlignment="1" applyProtection="1">
      <alignment horizontal="center" vertical="center"/>
    </xf>
    <xf numFmtId="2" fontId="17" fillId="6" borderId="56" xfId="0" applyNumberFormat="1" applyFont="1" applyFill="1" applyBorder="1" applyAlignment="1" applyProtection="1">
      <alignment horizontal="center" vertical="center"/>
    </xf>
    <xf numFmtId="2" fontId="16" fillId="6" borderId="39" xfId="0" applyNumberFormat="1" applyFont="1" applyFill="1" applyBorder="1" applyAlignment="1" applyProtection="1">
      <alignment horizontal="center" vertical="center"/>
    </xf>
    <xf numFmtId="2" fontId="17" fillId="6" borderId="50" xfId="0" applyNumberFormat="1" applyFont="1" applyFill="1" applyBorder="1" applyAlignment="1" applyProtection="1">
      <alignment horizontal="center" vertical="center"/>
    </xf>
    <xf numFmtId="2" fontId="16" fillId="6" borderId="32"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horizontal="center" vertical="center"/>
    </xf>
    <xf numFmtId="2" fontId="17" fillId="6" borderId="2"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vertical="center"/>
    </xf>
    <xf numFmtId="2" fontId="11" fillId="0" borderId="0" xfId="0" applyNumberFormat="1" applyFont="1" applyAlignment="1">
      <alignment vertical="center"/>
    </xf>
    <xf numFmtId="2" fontId="0" fillId="0" borderId="0" xfId="0" applyNumberFormat="1" applyAlignment="1">
      <alignment vertical="center"/>
    </xf>
    <xf numFmtId="2" fontId="46" fillId="11" borderId="6" xfId="31" applyNumberFormat="1" applyFont="1" applyBorder="1" applyAlignment="1">
      <alignment horizontal="center" vertical="center"/>
    </xf>
    <xf numFmtId="0" fontId="15" fillId="6" borderId="80" xfId="0" applyFont="1" applyFill="1" applyBorder="1" applyAlignment="1" applyProtection="1">
      <alignment horizontal="center" vertical="center" wrapText="1"/>
    </xf>
    <xf numFmtId="0" fontId="15" fillId="6" borderId="81" xfId="0" applyFont="1" applyFill="1" applyBorder="1" applyAlignment="1" applyProtection="1">
      <alignment horizontal="center" vertical="center" wrapText="1"/>
    </xf>
    <xf numFmtId="164" fontId="15" fillId="6" borderId="23" xfId="0" applyNumberFormat="1" applyFont="1" applyFill="1" applyBorder="1" applyAlignment="1" applyProtection="1">
      <alignment horizontal="center" vertical="center"/>
    </xf>
    <xf numFmtId="0" fontId="16" fillId="6" borderId="19" xfId="0" applyFont="1" applyFill="1" applyBorder="1" applyAlignment="1" applyProtection="1">
      <alignment vertical="center"/>
    </xf>
    <xf numFmtId="2" fontId="16" fillId="0" borderId="27" xfId="0" applyNumberFormat="1" applyFont="1" applyBorder="1" applyAlignment="1" applyProtection="1">
      <alignment horizontal="center" vertical="center"/>
    </xf>
    <xf numFmtId="2" fontId="16" fillId="0" borderId="40" xfId="0" applyNumberFormat="1" applyFont="1" applyBorder="1" applyAlignment="1" applyProtection="1">
      <alignment horizontal="center" vertical="center"/>
    </xf>
    <xf numFmtId="2" fontId="16" fillId="0" borderId="25" xfId="0" applyNumberFormat="1" applyFont="1" applyBorder="1" applyAlignment="1" applyProtection="1">
      <alignment horizontal="center" vertical="center"/>
    </xf>
    <xf numFmtId="2" fontId="6" fillId="0" borderId="51" xfId="0" applyNumberFormat="1" applyFont="1" applyBorder="1" applyAlignment="1" applyProtection="1">
      <alignment horizontal="center" vertical="center"/>
    </xf>
    <xf numFmtId="2" fontId="6" fillId="0" borderId="33" xfId="0" applyNumberFormat="1" applyFont="1" applyBorder="1" applyAlignment="1" applyProtection="1">
      <alignment horizontal="center" vertical="center"/>
    </xf>
    <xf numFmtId="0" fontId="0" fillId="6" borderId="19" xfId="0" applyFill="1" applyBorder="1" applyAlignment="1">
      <alignment vertical="center"/>
    </xf>
    <xf numFmtId="2" fontId="15" fillId="0" borderId="23" xfId="0" applyNumberFormat="1" applyFont="1" applyBorder="1" applyAlignment="1" applyProtection="1">
      <alignment horizontal="center" vertical="center"/>
    </xf>
    <xf numFmtId="2" fontId="6" fillId="0" borderId="45" xfId="0" applyNumberFormat="1" applyFont="1" applyBorder="1" applyAlignment="1" applyProtection="1">
      <alignment horizontal="center" vertical="center"/>
    </xf>
    <xf numFmtId="0" fontId="6" fillId="6" borderId="0" xfId="0" applyFont="1" applyFill="1" applyBorder="1" applyAlignment="1" applyProtection="1">
      <alignment horizontal="left" vertical="center" wrapText="1"/>
    </xf>
    <xf numFmtId="164" fontId="6" fillId="6" borderId="0" xfId="0" applyNumberFormat="1" applyFont="1" applyFill="1" applyBorder="1" applyAlignment="1" applyProtection="1">
      <alignment horizontal="center" vertical="center"/>
    </xf>
    <xf numFmtId="0" fontId="0" fillId="6" borderId="19" xfId="0" applyFill="1" applyBorder="1" applyAlignment="1" applyProtection="1">
      <alignment vertical="center"/>
    </xf>
    <xf numFmtId="2" fontId="17" fillId="0" borderId="51" xfId="0" applyNumberFormat="1" applyFont="1" applyBorder="1" applyAlignment="1" applyProtection="1">
      <alignment horizontal="center" vertical="center"/>
    </xf>
    <xf numFmtId="164" fontId="6" fillId="6" borderId="45" xfId="0" applyNumberFormat="1" applyFont="1" applyFill="1" applyBorder="1" applyAlignment="1" applyProtection="1">
      <alignment horizontal="center" vertical="center"/>
    </xf>
    <xf numFmtId="2" fontId="16" fillId="6" borderId="83" xfId="0" applyNumberFormat="1" applyFont="1" applyFill="1" applyBorder="1" applyAlignment="1" applyProtection="1">
      <alignment vertical="center"/>
    </xf>
    <xf numFmtId="2" fontId="15" fillId="0" borderId="27" xfId="0" applyNumberFormat="1" applyFont="1" applyBorder="1" applyAlignment="1" applyProtection="1">
      <alignment horizontal="center" vertical="center"/>
    </xf>
    <xf numFmtId="0" fontId="66" fillId="6" borderId="0" xfId="0" applyFont="1" applyFill="1" applyBorder="1" applyAlignment="1" applyProtection="1">
      <alignment vertical="center"/>
    </xf>
    <xf numFmtId="2" fontId="6" fillId="6" borderId="33" xfId="0" applyNumberFormat="1" applyFont="1" applyFill="1" applyBorder="1" applyAlignment="1" applyProtection="1">
      <alignment horizontal="center" vertical="center"/>
    </xf>
    <xf numFmtId="2" fontId="15" fillId="6" borderId="23" xfId="0" applyNumberFormat="1" applyFont="1" applyFill="1" applyBorder="1" applyAlignment="1" applyProtection="1">
      <alignment horizontal="center" vertical="center"/>
    </xf>
    <xf numFmtId="164" fontId="46" fillId="0" borderId="6" xfId="0" applyNumberFormat="1" applyFont="1" applyBorder="1" applyAlignment="1" applyProtection="1">
      <alignment horizontal="center" vertical="center"/>
    </xf>
    <xf numFmtId="2" fontId="16" fillId="11" borderId="6" xfId="31" applyNumberFormat="1" applyFont="1" applyBorder="1" applyAlignment="1">
      <alignment horizontal="center" vertical="center"/>
    </xf>
    <xf numFmtId="2" fontId="11" fillId="6" borderId="0" xfId="0" applyNumberFormat="1" applyFont="1" applyFill="1" applyBorder="1" applyAlignment="1">
      <alignment vertical="center"/>
    </xf>
    <xf numFmtId="2" fontId="17" fillId="6" borderId="79" xfId="0" applyNumberFormat="1" applyFont="1" applyFill="1" applyBorder="1" applyAlignment="1" applyProtection="1">
      <alignment horizontal="center" vertical="center"/>
    </xf>
    <xf numFmtId="2" fontId="17" fillId="6" borderId="30" xfId="0" applyNumberFormat="1" applyFont="1" applyFill="1" applyBorder="1" applyAlignment="1" applyProtection="1">
      <alignment horizontal="center" vertical="center"/>
    </xf>
    <xf numFmtId="2" fontId="16" fillId="6" borderId="34" xfId="0" applyNumberFormat="1" applyFont="1" applyFill="1" applyBorder="1" applyAlignment="1" applyProtection="1">
      <alignment horizontal="center" vertical="center"/>
    </xf>
    <xf numFmtId="2" fontId="16" fillId="6" borderId="35" xfId="0" applyNumberFormat="1" applyFont="1" applyFill="1" applyBorder="1" applyAlignment="1" applyProtection="1">
      <alignment horizontal="center" vertical="center"/>
    </xf>
    <xf numFmtId="2" fontId="17" fillId="6" borderId="3" xfId="0" applyNumberFormat="1" applyFont="1" applyFill="1" applyBorder="1" applyAlignment="1" applyProtection="1">
      <alignment horizontal="center" vertical="center"/>
    </xf>
    <xf numFmtId="2" fontId="17" fillId="6" borderId="1" xfId="0" applyNumberFormat="1" applyFont="1" applyFill="1" applyBorder="1" applyAlignment="1" applyProtection="1">
      <alignment horizontal="center" vertical="center"/>
    </xf>
    <xf numFmtId="2" fontId="17" fillId="6" borderId="26" xfId="0" applyNumberFormat="1" applyFont="1" applyFill="1" applyBorder="1" applyAlignment="1" applyProtection="1">
      <alignment horizontal="center" vertical="center"/>
    </xf>
    <xf numFmtId="2" fontId="16" fillId="6" borderId="7" xfId="0" applyNumberFormat="1" applyFont="1" applyFill="1" applyBorder="1" applyAlignment="1" applyProtection="1">
      <alignment horizontal="center" vertical="center"/>
    </xf>
    <xf numFmtId="2" fontId="16" fillId="6" borderId="5" xfId="0" applyNumberFormat="1" applyFont="1" applyFill="1" applyBorder="1" applyAlignment="1" applyProtection="1">
      <alignment vertical="center"/>
    </xf>
    <xf numFmtId="0" fontId="16" fillId="6" borderId="7"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2" fontId="16" fillId="0" borderId="23" xfId="0" applyNumberFormat="1" applyFont="1" applyBorder="1" applyAlignment="1" applyProtection="1">
      <alignment horizontal="center" vertical="center"/>
    </xf>
    <xf numFmtId="0" fontId="16" fillId="0" borderId="5" xfId="0" applyFont="1" applyFill="1" applyBorder="1" applyAlignment="1" applyProtection="1">
      <alignment vertical="center"/>
    </xf>
    <xf numFmtId="0" fontId="16" fillId="0" borderId="81" xfId="0" applyFont="1" applyFill="1" applyBorder="1" applyAlignment="1" applyProtection="1">
      <alignment vertical="center" wrapText="1"/>
    </xf>
    <xf numFmtId="0" fontId="16" fillId="6" borderId="5" xfId="0" applyFont="1" applyFill="1" applyBorder="1" applyAlignment="1" applyProtection="1">
      <alignment vertical="center"/>
    </xf>
    <xf numFmtId="0" fontId="16" fillId="6" borderId="0" xfId="0" applyFont="1" applyFill="1" applyBorder="1" applyAlignment="1" applyProtection="1">
      <alignment horizontal="center" vertical="center"/>
    </xf>
    <xf numFmtId="0" fontId="17" fillId="6" borderId="80" xfId="0" applyFont="1" applyFill="1" applyBorder="1" applyAlignment="1" applyProtection="1">
      <alignment horizontal="center" vertical="center" wrapText="1"/>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25" fillId="6" borderId="8" xfId="0" applyFont="1" applyFill="1" applyBorder="1" applyAlignment="1" applyProtection="1">
      <alignment vertical="center" wrapText="1"/>
    </xf>
    <xf numFmtId="0" fontId="25" fillId="6" borderId="6" xfId="0" applyFont="1" applyFill="1" applyBorder="1" applyAlignment="1" applyProtection="1">
      <alignment horizontal="center" vertical="center" wrapText="1"/>
    </xf>
    <xf numFmtId="0" fontId="15" fillId="6" borderId="80" xfId="0" applyFont="1" applyFill="1" applyBorder="1" applyAlignment="1" applyProtection="1">
      <alignment horizontal="center" vertical="center"/>
    </xf>
    <xf numFmtId="0" fontId="17" fillId="6" borderId="83" xfId="0" applyFont="1" applyFill="1" applyBorder="1" applyAlignment="1" applyProtection="1">
      <alignment horizontal="center" vertical="center" wrapText="1"/>
    </xf>
    <xf numFmtId="0" fontId="17" fillId="6" borderId="65" xfId="0" applyFont="1" applyFill="1" applyBorder="1" applyAlignment="1" applyProtection="1">
      <alignment horizontal="center" vertical="center" wrapText="1"/>
    </xf>
    <xf numFmtId="0" fontId="15" fillId="6" borderId="29" xfId="0" applyFont="1" applyFill="1" applyBorder="1" applyAlignment="1" applyProtection="1">
      <alignment horizontal="center" vertical="center"/>
    </xf>
    <xf numFmtId="0" fontId="0" fillId="0" borderId="41" xfId="0" applyBorder="1" applyAlignment="1">
      <alignment vertical="center"/>
    </xf>
    <xf numFmtId="0" fontId="0" fillId="6" borderId="41" xfId="0" applyFill="1" applyBorder="1" applyAlignment="1">
      <alignment vertical="center"/>
    </xf>
    <xf numFmtId="0" fontId="62" fillId="6" borderId="41" xfId="0" applyFont="1" applyFill="1" applyBorder="1" applyAlignment="1">
      <alignment horizontal="center" vertical="center"/>
    </xf>
    <xf numFmtId="0" fontId="6" fillId="0" borderId="0" xfId="0" applyFont="1" applyBorder="1" applyAlignment="1">
      <alignment horizontal="center" vertical="top"/>
    </xf>
    <xf numFmtId="49" fontId="15" fillId="0" borderId="100" xfId="0" applyNumberFormat="1" applyFont="1" applyBorder="1" applyAlignment="1">
      <alignment horizontal="center" vertical="top"/>
    </xf>
    <xf numFmtId="49" fontId="15" fillId="0" borderId="90" xfId="0" applyNumberFormat="1" applyFont="1" applyBorder="1" applyAlignment="1">
      <alignment horizontal="center" vertical="top"/>
    </xf>
    <xf numFmtId="0" fontId="16" fillId="0" borderId="101" xfId="0" applyFont="1" applyBorder="1"/>
    <xf numFmtId="9" fontId="11" fillId="0" borderId="0" xfId="32" applyFont="1" applyAlignment="1">
      <alignment vertical="center"/>
    </xf>
    <xf numFmtId="0" fontId="0" fillId="6" borderId="106" xfId="0" applyFill="1" applyBorder="1" applyAlignment="1">
      <alignment horizontal="center" vertical="center"/>
    </xf>
    <xf numFmtId="0" fontId="69" fillId="0" borderId="0" xfId="0" applyFont="1" applyAlignment="1">
      <alignment vertical="center"/>
    </xf>
    <xf numFmtId="0" fontId="61" fillId="0" borderId="101" xfId="0" applyFont="1" applyBorder="1" applyAlignment="1">
      <alignment vertical="center"/>
    </xf>
    <xf numFmtId="0" fontId="17" fillId="6" borderId="54" xfId="0" applyFont="1" applyFill="1" applyBorder="1" applyAlignment="1" applyProtection="1">
      <alignment horizontal="center" vertical="center" wrapText="1"/>
    </xf>
    <xf numFmtId="0" fontId="37" fillId="0" borderId="81" xfId="0" applyFont="1" applyBorder="1" applyAlignment="1" applyProtection="1">
      <alignment horizontal="center" vertical="center"/>
    </xf>
    <xf numFmtId="0" fontId="37" fillId="0" borderId="1" xfId="0" applyFont="1" applyBorder="1" applyAlignment="1" applyProtection="1">
      <alignment horizontal="center" vertical="center"/>
    </xf>
    <xf numFmtId="0" fontId="16" fillId="6" borderId="79" xfId="0" applyFont="1" applyFill="1" applyBorder="1" applyAlignment="1">
      <alignment horizontal="center" vertical="center" wrapText="1"/>
    </xf>
    <xf numFmtId="2" fontId="16" fillId="6" borderId="82" xfId="0" applyNumberFormat="1" applyFont="1" applyFill="1" applyBorder="1" applyAlignment="1">
      <alignment horizontal="center" vertical="center"/>
    </xf>
    <xf numFmtId="2" fontId="16" fillId="6" borderId="80" xfId="0" applyNumberFormat="1" applyFont="1" applyFill="1" applyBorder="1" applyAlignment="1">
      <alignment horizontal="center" vertical="center"/>
    </xf>
    <xf numFmtId="2" fontId="16" fillId="6" borderId="110" xfId="0" applyNumberFormat="1" applyFont="1" applyFill="1" applyBorder="1" applyAlignment="1">
      <alignment horizontal="center" vertical="center"/>
    </xf>
    <xf numFmtId="2" fontId="16" fillId="6" borderId="81" xfId="0" applyNumberFormat="1" applyFont="1" applyFill="1" applyBorder="1" applyAlignment="1">
      <alignment horizontal="center" vertical="center"/>
    </xf>
    <xf numFmtId="0" fontId="16" fillId="6" borderId="7" xfId="0" applyFont="1" applyFill="1" applyBorder="1" applyAlignment="1">
      <alignment horizontal="center" vertical="center" wrapText="1"/>
    </xf>
    <xf numFmtId="2" fontId="16" fillId="6" borderId="38" xfId="0" applyNumberFormat="1" applyFont="1" applyFill="1" applyBorder="1" applyAlignment="1">
      <alignment horizontal="center" vertical="center"/>
    </xf>
    <xf numFmtId="2" fontId="16" fillId="6" borderId="6" xfId="0" applyNumberFormat="1" applyFont="1" applyFill="1" applyBorder="1" applyAlignment="1">
      <alignment horizontal="center" vertical="center"/>
    </xf>
    <xf numFmtId="2" fontId="16" fillId="6" borderId="111" xfId="0" applyNumberFormat="1" applyFont="1" applyFill="1" applyBorder="1" applyAlignment="1">
      <alignment horizontal="center" vertical="center"/>
    </xf>
    <xf numFmtId="2" fontId="16" fillId="6" borderId="5" xfId="0" applyNumberFormat="1" applyFont="1" applyFill="1" applyBorder="1" applyAlignment="1">
      <alignment horizontal="center" vertical="center"/>
    </xf>
    <xf numFmtId="0" fontId="16" fillId="6" borderId="3" xfId="0" applyFont="1" applyFill="1" applyBorder="1" applyAlignment="1">
      <alignment horizontal="center" vertical="center" wrapText="1"/>
    </xf>
    <xf numFmtId="2" fontId="16" fillId="6" borderId="50" xfId="0" applyNumberFormat="1" applyFont="1" applyFill="1" applyBorder="1" applyAlignment="1">
      <alignment horizontal="center" vertical="center"/>
    </xf>
    <xf numFmtId="2" fontId="16" fillId="6" borderId="2" xfId="0" applyNumberFormat="1" applyFont="1" applyFill="1" applyBorder="1" applyAlignment="1">
      <alignment horizontal="center" vertical="center"/>
    </xf>
    <xf numFmtId="2" fontId="16" fillId="6" borderId="112" xfId="0" applyNumberFormat="1" applyFont="1" applyFill="1" applyBorder="1" applyAlignment="1">
      <alignment horizontal="center" vertical="center"/>
    </xf>
    <xf numFmtId="2" fontId="16" fillId="6" borderId="1" xfId="0" applyNumberFormat="1" applyFont="1" applyFill="1" applyBorder="1" applyAlignment="1">
      <alignment horizontal="center" vertical="center"/>
    </xf>
    <xf numFmtId="2" fontId="10" fillId="6" borderId="61" xfId="0" applyNumberFormat="1" applyFont="1" applyFill="1" applyBorder="1" applyAlignment="1">
      <alignment horizontal="center" vertical="center"/>
    </xf>
    <xf numFmtId="2" fontId="10" fillId="6" borderId="72" xfId="0" applyNumberFormat="1" applyFont="1" applyFill="1" applyBorder="1" applyAlignment="1">
      <alignment horizontal="center" vertical="center"/>
    </xf>
    <xf numFmtId="0" fontId="16" fillId="0" borderId="81"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6" borderId="81" xfId="0"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0" fillId="6" borderId="40" xfId="0" applyFill="1" applyBorder="1" applyAlignment="1">
      <alignment vertical="center"/>
    </xf>
    <xf numFmtId="0" fontId="0" fillId="6" borderId="20" xfId="0" applyFill="1" applyBorder="1" applyAlignment="1">
      <alignment vertical="center"/>
    </xf>
    <xf numFmtId="0" fontId="36" fillId="0" borderId="0" xfId="0" applyFont="1" applyBorder="1" applyAlignment="1">
      <alignment vertical="center"/>
    </xf>
    <xf numFmtId="0" fontId="0" fillId="6" borderId="53" xfId="0" applyFill="1" applyBorder="1" applyAlignment="1">
      <alignment vertical="center"/>
    </xf>
    <xf numFmtId="0" fontId="9" fillId="0" borderId="0" xfId="0" applyFont="1" applyBorder="1" applyAlignment="1">
      <alignment vertical="center"/>
    </xf>
    <xf numFmtId="0" fontId="16" fillId="0" borderId="0" xfId="0" applyFont="1" applyBorder="1"/>
    <xf numFmtId="0" fontId="16" fillId="0" borderId="0" xfId="0" applyFont="1" applyBorder="1" applyAlignment="1">
      <alignment vertical="top"/>
    </xf>
    <xf numFmtId="0" fontId="16" fillId="0" borderId="53" xfId="0" applyFont="1" applyBorder="1"/>
    <xf numFmtId="0" fontId="9" fillId="0" borderId="0" xfId="0" applyFont="1" applyBorder="1" applyAlignment="1">
      <alignment horizontal="left" vertical="center"/>
    </xf>
    <xf numFmtId="0" fontId="15" fillId="0" borderId="0" xfId="0" applyFont="1" applyBorder="1"/>
    <xf numFmtId="0" fontId="0" fillId="6" borderId="37" xfId="0" applyFill="1" applyBorder="1" applyAlignment="1">
      <alignment vertical="center"/>
    </xf>
    <xf numFmtId="0" fontId="0" fillId="6" borderId="36" xfId="0" applyFill="1" applyBorder="1" applyAlignment="1">
      <alignment vertical="center"/>
    </xf>
    <xf numFmtId="0" fontId="0" fillId="6" borderId="56" xfId="0" applyFill="1" applyBorder="1" applyAlignment="1">
      <alignment vertical="center"/>
    </xf>
    <xf numFmtId="0" fontId="62" fillId="6" borderId="40" xfId="0" applyFont="1" applyFill="1" applyBorder="1" applyAlignment="1">
      <alignment horizontal="center" vertical="center"/>
    </xf>
    <xf numFmtId="0" fontId="2" fillId="6" borderId="20" xfId="0" applyFont="1" applyFill="1" applyBorder="1" applyAlignment="1">
      <alignment horizontal="center" vertical="center"/>
    </xf>
    <xf numFmtId="0" fontId="0" fillId="6" borderId="39" xfId="0" applyFill="1" applyBorder="1" applyAlignment="1">
      <alignment vertical="center"/>
    </xf>
    <xf numFmtId="0" fontId="0" fillId="0" borderId="0" xfId="0" applyBorder="1" applyAlignment="1">
      <alignment vertical="center"/>
    </xf>
    <xf numFmtId="0" fontId="6" fillId="6" borderId="0" xfId="0" applyFont="1" applyFill="1" applyBorder="1" applyAlignment="1">
      <alignment horizontal="center" vertical="center" wrapText="1"/>
    </xf>
    <xf numFmtId="0" fontId="37" fillId="6" borderId="0" xfId="0" applyFont="1" applyFill="1" applyBorder="1" applyAlignment="1" applyProtection="1">
      <alignment horizontal="center" vertical="center" wrapText="1"/>
      <protection locked="0"/>
    </xf>
    <xf numFmtId="0" fontId="2" fillId="6" borderId="0" xfId="0" applyFont="1" applyFill="1" applyBorder="1" applyAlignment="1">
      <alignment horizontal="center" vertical="center"/>
    </xf>
    <xf numFmtId="0" fontId="16" fillId="6" borderId="36" xfId="0" applyFont="1" applyFill="1" applyBorder="1" applyAlignment="1" applyProtection="1">
      <alignment vertical="center"/>
    </xf>
    <xf numFmtId="0" fontId="0" fillId="6" borderId="36" xfId="0" applyFill="1" applyBorder="1" applyAlignment="1" applyProtection="1">
      <alignment vertical="center"/>
    </xf>
    <xf numFmtId="0" fontId="0" fillId="6" borderId="53" xfId="0" applyFill="1" applyBorder="1" applyAlignment="1" applyProtection="1">
      <alignment vertical="center"/>
    </xf>
    <xf numFmtId="0" fontId="0" fillId="6" borderId="36" xfId="0" applyFill="1" applyBorder="1" applyAlignment="1" applyProtection="1">
      <alignment horizontal="center" vertical="center"/>
    </xf>
    <xf numFmtId="0" fontId="0" fillId="6" borderId="56" xfId="0" applyFill="1" applyBorder="1" applyAlignment="1" applyProtection="1">
      <alignment vertical="center"/>
    </xf>
    <xf numFmtId="0" fontId="55" fillId="6" borderId="41" xfId="0" applyFont="1" applyFill="1" applyBorder="1" applyAlignment="1">
      <alignment vertical="center"/>
    </xf>
    <xf numFmtId="0" fontId="55" fillId="6" borderId="53" xfId="0" applyFont="1" applyFill="1" applyBorder="1" applyAlignment="1">
      <alignment vertical="center"/>
    </xf>
    <xf numFmtId="0" fontId="56" fillId="6" borderId="41" xfId="0" applyFont="1" applyFill="1" applyBorder="1" applyAlignment="1">
      <alignment vertical="center"/>
    </xf>
    <xf numFmtId="0" fontId="56" fillId="6" borderId="53" xfId="0" applyFont="1" applyFill="1" applyBorder="1" applyAlignment="1">
      <alignment vertical="center"/>
    </xf>
    <xf numFmtId="0" fontId="55" fillId="6" borderId="0" xfId="0" applyFont="1" applyFill="1" applyBorder="1" applyAlignment="1">
      <alignment vertical="center"/>
    </xf>
    <xf numFmtId="0" fontId="55" fillId="6" borderId="0" xfId="0" applyFont="1" applyFill="1" applyBorder="1" applyAlignment="1">
      <alignment horizontal="center" vertical="center"/>
    </xf>
    <xf numFmtId="0" fontId="55" fillId="6" borderId="0" xfId="0" applyFont="1" applyFill="1" applyBorder="1" applyAlignment="1" applyProtection="1">
      <alignment horizontal="center" vertical="center"/>
      <protection locked="0"/>
    </xf>
    <xf numFmtId="0" fontId="55" fillId="6" borderId="37" xfId="0" applyFont="1" applyFill="1" applyBorder="1" applyAlignment="1">
      <alignment vertical="center"/>
    </xf>
    <xf numFmtId="0" fontId="55" fillId="6" borderId="36" xfId="0" applyFont="1" applyFill="1" applyBorder="1" applyAlignment="1">
      <alignment vertical="center"/>
    </xf>
    <xf numFmtId="0" fontId="55" fillId="6" borderId="36" xfId="0" applyFont="1" applyFill="1" applyBorder="1" applyAlignment="1">
      <alignment horizontal="center" vertical="center"/>
    </xf>
    <xf numFmtId="0" fontId="55" fillId="6" borderId="36" xfId="0" applyFont="1" applyFill="1" applyBorder="1" applyAlignment="1" applyProtection="1">
      <alignment horizontal="center" vertical="center"/>
      <protection locked="0"/>
    </xf>
    <xf numFmtId="0" fontId="55" fillId="6" borderId="56" xfId="0" applyFont="1" applyFill="1" applyBorder="1" applyAlignment="1">
      <alignment vertical="center"/>
    </xf>
    <xf numFmtId="0" fontId="16" fillId="6" borderId="41" xfId="0" applyFont="1" applyFill="1" applyBorder="1"/>
    <xf numFmtId="0" fontId="16" fillId="6" borderId="0" xfId="0" applyFont="1" applyFill="1" applyBorder="1"/>
    <xf numFmtId="0" fontId="16" fillId="6" borderId="53" xfId="0" applyFont="1" applyFill="1" applyBorder="1"/>
    <xf numFmtId="0" fontId="0" fillId="6" borderId="0" xfId="0" applyFill="1" applyBorder="1" applyAlignment="1">
      <alignment horizontal="center" vertical="center"/>
    </xf>
    <xf numFmtId="0" fontId="0" fillId="6" borderId="113" xfId="0" applyFill="1" applyBorder="1" applyAlignment="1">
      <alignment vertical="center"/>
    </xf>
    <xf numFmtId="0" fontId="16" fillId="6" borderId="41" xfId="0" applyFont="1" applyFill="1" applyBorder="1" applyAlignment="1">
      <alignment horizontal="center" vertical="center"/>
    </xf>
    <xf numFmtId="0" fontId="16" fillId="6" borderId="0" xfId="0" applyFont="1" applyFill="1" applyBorder="1" applyAlignment="1">
      <alignment horizontal="center" vertical="center"/>
    </xf>
    <xf numFmtId="0" fontId="0" fillId="6" borderId="53" xfId="0" applyFill="1" applyBorder="1" applyAlignment="1">
      <alignment horizontal="center" vertical="center"/>
    </xf>
    <xf numFmtId="0" fontId="16" fillId="6" borderId="37" xfId="0" applyFont="1" applyFill="1" applyBorder="1"/>
    <xf numFmtId="0" fontId="16" fillId="6" borderId="36" xfId="0" applyFont="1" applyFill="1" applyBorder="1"/>
    <xf numFmtId="0" fontId="0" fillId="6" borderId="56" xfId="0" applyFill="1" applyBorder="1"/>
    <xf numFmtId="0" fontId="11" fillId="6" borderId="41" xfId="0" applyFont="1" applyFill="1" applyBorder="1" applyAlignment="1">
      <alignment vertical="center"/>
    </xf>
    <xf numFmtId="0" fontId="11" fillId="6" borderId="53" xfId="0" applyFont="1" applyFill="1" applyBorder="1" applyAlignment="1">
      <alignment vertical="center"/>
    </xf>
    <xf numFmtId="0" fontId="11" fillId="6" borderId="53" xfId="0" applyFont="1" applyFill="1" applyBorder="1" applyAlignment="1">
      <alignment horizontal="left" vertical="center"/>
    </xf>
    <xf numFmtId="2" fontId="16" fillId="6" borderId="0" xfId="0" applyNumberFormat="1" applyFont="1" applyFill="1" applyBorder="1" applyAlignment="1" applyProtection="1">
      <alignment horizontal="center" vertical="center"/>
    </xf>
    <xf numFmtId="0" fontId="16" fillId="6" borderId="0" xfId="0" applyFont="1" applyFill="1" applyBorder="1" applyAlignment="1" applyProtection="1">
      <alignment vertical="top"/>
    </xf>
    <xf numFmtId="0" fontId="71" fillId="6" borderId="53" xfId="0" applyFont="1" applyFill="1" applyBorder="1" applyAlignment="1">
      <alignment vertical="center"/>
    </xf>
    <xf numFmtId="2" fontId="16" fillId="6" borderId="0" xfId="0" applyNumberFormat="1" applyFont="1" applyFill="1" applyBorder="1" applyAlignment="1">
      <alignment vertical="center"/>
    </xf>
    <xf numFmtId="0" fontId="11" fillId="6" borderId="36" xfId="0" applyFont="1" applyFill="1" applyBorder="1" applyAlignment="1">
      <alignment vertical="center"/>
    </xf>
    <xf numFmtId="2" fontId="11" fillId="6" borderId="36" xfId="0" applyNumberFormat="1" applyFont="1" applyFill="1" applyBorder="1" applyAlignment="1">
      <alignment vertical="center"/>
    </xf>
    <xf numFmtId="0" fontId="11" fillId="6" borderId="56" xfId="0" applyFont="1" applyFill="1" applyBorder="1" applyAlignment="1">
      <alignment vertical="center"/>
    </xf>
    <xf numFmtId="0" fontId="16" fillId="6" borderId="53" xfId="0" applyFont="1" applyFill="1" applyBorder="1" applyAlignment="1">
      <alignment vertical="center"/>
    </xf>
    <xf numFmtId="0" fontId="16" fillId="6" borderId="40" xfId="0" applyFont="1" applyFill="1" applyBorder="1" applyAlignment="1">
      <alignment vertical="center"/>
    </xf>
    <xf numFmtId="0" fontId="16" fillId="6" borderId="20" xfId="0" applyFont="1" applyFill="1" applyBorder="1" applyAlignment="1">
      <alignment vertical="center"/>
    </xf>
    <xf numFmtId="0" fontId="16" fillId="6" borderId="39" xfId="0" applyFont="1" applyFill="1" applyBorder="1" applyAlignment="1">
      <alignment vertical="center"/>
    </xf>
    <xf numFmtId="0" fontId="16" fillId="6" borderId="41" xfId="0" applyFont="1" applyFill="1" applyBorder="1" applyAlignment="1">
      <alignment vertical="center"/>
    </xf>
    <xf numFmtId="0" fontId="16" fillId="6" borderId="37" xfId="0" applyFont="1" applyFill="1" applyBorder="1" applyAlignment="1">
      <alignment vertical="center"/>
    </xf>
    <xf numFmtId="0" fontId="16" fillId="6" borderId="36" xfId="0" applyFont="1" applyFill="1" applyBorder="1" applyAlignment="1">
      <alignment vertical="center"/>
    </xf>
    <xf numFmtId="0" fontId="16" fillId="6" borderId="56" xfId="0" applyFont="1" applyFill="1" applyBorder="1" applyAlignment="1">
      <alignment vertical="center"/>
    </xf>
    <xf numFmtId="0" fontId="67" fillId="6" borderId="53" xfId="0" applyFont="1" applyFill="1" applyBorder="1" applyAlignment="1">
      <alignment vertical="center"/>
    </xf>
    <xf numFmtId="0" fontId="12" fillId="6" borderId="53" xfId="0" applyFont="1" applyFill="1" applyBorder="1" applyAlignment="1">
      <alignment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0" fillId="6" borderId="36" xfId="0" applyFill="1" applyBorder="1" applyAlignment="1">
      <alignment horizontal="center" vertical="center"/>
    </xf>
    <xf numFmtId="0" fontId="72" fillId="0" borderId="0"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horizontal="center" vertical="center"/>
    </xf>
    <xf numFmtId="0" fontId="16" fillId="0" borderId="29" xfId="0" applyFont="1" applyBorder="1" applyAlignment="1">
      <alignment vertical="center"/>
    </xf>
    <xf numFmtId="0" fontId="71" fillId="0" borderId="0" xfId="0" applyFont="1" applyAlignment="1">
      <alignment vertical="center"/>
    </xf>
    <xf numFmtId="0" fontId="17" fillId="6" borderId="63" xfId="0" applyFont="1" applyFill="1" applyBorder="1" applyAlignment="1">
      <alignment vertical="center" wrapText="1"/>
    </xf>
    <xf numFmtId="2" fontId="17" fillId="13" borderId="29" xfId="0" applyNumberFormat="1" applyFont="1" applyFill="1" applyBorder="1" applyAlignment="1">
      <alignment horizontal="center" vertical="center"/>
    </xf>
    <xf numFmtId="0" fontId="6" fillId="0" borderId="0" xfId="0" applyFont="1" applyBorder="1" applyAlignment="1">
      <alignment vertical="center"/>
    </xf>
    <xf numFmtId="49" fontId="37" fillId="0" borderId="0" xfId="0" applyNumberFormat="1" applyFont="1" applyBorder="1" applyAlignment="1">
      <alignment horizontal="center" vertical="center"/>
    </xf>
    <xf numFmtId="0" fontId="15" fillId="6" borderId="71" xfId="0" applyFont="1" applyFill="1" applyBorder="1" applyAlignment="1">
      <alignment vertical="center"/>
    </xf>
    <xf numFmtId="0" fontId="16" fillId="0" borderId="85" xfId="0" applyFont="1" applyBorder="1" applyAlignment="1">
      <alignment vertical="center"/>
    </xf>
    <xf numFmtId="0" fontId="17" fillId="6" borderId="55" xfId="0" applyFont="1" applyFill="1" applyBorder="1" applyAlignment="1" applyProtection="1">
      <alignment horizontal="center" vertical="center" wrapText="1"/>
    </xf>
    <xf numFmtId="2" fontId="16" fillId="0" borderId="23" xfId="0" applyNumberFormat="1" applyFont="1" applyBorder="1" applyAlignment="1" applyProtection="1">
      <alignment horizontal="center" vertical="center"/>
    </xf>
    <xf numFmtId="0" fontId="17" fillId="6" borderId="65" xfId="0" applyFont="1" applyFill="1" applyBorder="1" applyAlignment="1" applyProtection="1">
      <alignment horizontal="center" vertical="center" wrapText="1"/>
    </xf>
    <xf numFmtId="0" fontId="17" fillId="6" borderId="80" xfId="0" applyFont="1" applyFill="1" applyBorder="1" applyAlignment="1" applyProtection="1">
      <alignment horizontal="center" vertical="center" wrapText="1"/>
    </xf>
    <xf numFmtId="2" fontId="17" fillId="0" borderId="1" xfId="0" applyNumberFormat="1" applyFont="1" applyBorder="1" applyAlignment="1" applyProtection="1">
      <alignment horizontal="center" vertical="center"/>
    </xf>
    <xf numFmtId="0" fontId="17" fillId="6" borderId="80" xfId="0" applyFont="1" applyFill="1" applyBorder="1" applyAlignment="1" applyProtection="1">
      <alignment horizontal="center" vertical="center" wrapText="1"/>
    </xf>
    <xf numFmtId="0" fontId="17" fillId="0" borderId="26" xfId="0" applyFont="1" applyBorder="1" applyAlignment="1" applyProtection="1">
      <alignment horizontal="center" vertical="center"/>
    </xf>
    <xf numFmtId="9" fontId="16" fillId="0" borderId="29" xfId="0" applyNumberFormat="1" applyFont="1" applyBorder="1" applyAlignment="1" applyProtection="1">
      <alignment horizontal="center" vertical="center" wrapText="1"/>
    </xf>
    <xf numFmtId="0" fontId="16" fillId="0" borderId="29" xfId="0" applyFont="1" applyBorder="1" applyAlignment="1" applyProtection="1">
      <alignment vertical="center"/>
    </xf>
    <xf numFmtId="2" fontId="16" fillId="0" borderId="37" xfId="0" applyNumberFormat="1" applyFont="1" applyBorder="1" applyAlignment="1" applyProtection="1">
      <alignment horizontal="center" vertical="center"/>
    </xf>
    <xf numFmtId="2" fontId="16" fillId="0" borderId="49" xfId="0" applyNumberFormat="1" applyFont="1" applyBorder="1" applyAlignment="1" applyProtection="1">
      <alignment horizontal="center" vertical="center"/>
    </xf>
    <xf numFmtId="0" fontId="17" fillId="0" borderId="69" xfId="0" applyFont="1" applyFill="1" applyBorder="1" applyAlignment="1" applyProtection="1">
      <alignment horizontal="center" vertical="center"/>
    </xf>
    <xf numFmtId="2" fontId="16" fillId="7" borderId="6" xfId="0" applyNumberFormat="1" applyFont="1" applyFill="1" applyBorder="1" applyAlignment="1" applyProtection="1">
      <alignment horizontal="center" vertical="center"/>
      <protection locked="0"/>
    </xf>
    <xf numFmtId="2" fontId="16" fillId="7" borderId="32" xfId="0" applyNumberFormat="1" applyFont="1" applyFill="1" applyBorder="1" applyAlignment="1" applyProtection="1">
      <alignment horizontal="center" vertical="center"/>
      <protection locked="0"/>
    </xf>
    <xf numFmtId="2" fontId="15" fillId="7" borderId="6" xfId="0" applyNumberFormat="1" applyFont="1" applyFill="1" applyBorder="1" applyAlignment="1" applyProtection="1">
      <alignment horizontal="center" vertical="center"/>
      <protection locked="0"/>
    </xf>
    <xf numFmtId="2" fontId="15" fillId="7" borderId="32" xfId="0" applyNumberFormat="1" applyFont="1" applyFill="1" applyBorder="1" applyAlignment="1" applyProtection="1">
      <alignment horizontal="center" vertical="center"/>
      <protection locked="0"/>
    </xf>
    <xf numFmtId="0" fontId="70" fillId="0" borderId="101" xfId="0" applyFont="1" applyBorder="1" applyAlignment="1">
      <alignment horizontal="left" vertical="center"/>
    </xf>
    <xf numFmtId="0" fontId="17" fillId="0" borderId="80" xfId="0" applyFont="1" applyBorder="1" applyAlignment="1" applyProtection="1">
      <alignment horizontal="center" vertical="center"/>
    </xf>
    <xf numFmtId="0" fontId="17" fillId="6" borderId="83" xfId="0" applyFont="1" applyFill="1" applyBorder="1" applyAlignment="1" applyProtection="1">
      <alignment horizontal="center" vertical="center" wrapText="1"/>
    </xf>
    <xf numFmtId="0" fontId="16" fillId="0" borderId="37" xfId="0" applyFont="1" applyFill="1" applyBorder="1" applyAlignment="1" applyProtection="1">
      <alignment vertical="center" wrapText="1"/>
    </xf>
    <xf numFmtId="0" fontId="17" fillId="0" borderId="69" xfId="0" applyFont="1" applyBorder="1" applyAlignment="1" applyProtection="1">
      <alignment horizontal="center" vertical="center" wrapText="1"/>
    </xf>
    <xf numFmtId="0" fontId="11" fillId="0" borderId="80" xfId="0" applyFont="1" applyBorder="1" applyAlignment="1">
      <alignment vertical="center"/>
    </xf>
    <xf numFmtId="2" fontId="41" fillId="6" borderId="30" xfId="0" applyNumberFormat="1" applyFont="1" applyFill="1" applyBorder="1" applyAlignment="1" applyProtection="1">
      <alignment horizontal="center" vertical="center" wrapText="1"/>
    </xf>
    <xf numFmtId="2" fontId="47" fillId="6" borderId="30" xfId="0" applyNumberFormat="1" applyFont="1" applyFill="1" applyBorder="1" applyAlignment="1" applyProtection="1">
      <alignment horizontal="center" vertical="center" wrapText="1"/>
    </xf>
    <xf numFmtId="2" fontId="25" fillId="6" borderId="56" xfId="0" applyNumberFormat="1" applyFont="1" applyFill="1" applyBorder="1" applyAlignment="1" applyProtection="1">
      <alignment horizontal="center" vertical="center" wrapText="1"/>
    </xf>
    <xf numFmtId="2" fontId="16" fillId="6" borderId="56" xfId="0" applyNumberFormat="1" applyFont="1" applyFill="1" applyBorder="1" applyAlignment="1" applyProtection="1">
      <alignment horizontal="center" vertical="center" wrapText="1"/>
    </xf>
    <xf numFmtId="2" fontId="33" fillId="6" borderId="55" xfId="0" applyNumberFormat="1" applyFont="1" applyFill="1" applyBorder="1" applyAlignment="1" applyProtection="1">
      <alignment horizontal="center" vertical="center"/>
    </xf>
    <xf numFmtId="2" fontId="33" fillId="6" borderId="85" xfId="0" applyNumberFormat="1" applyFont="1" applyFill="1" applyBorder="1" applyAlignment="1" applyProtection="1">
      <alignment horizontal="center" vertical="center"/>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0" fillId="0" borderId="19" xfId="0" applyBorder="1"/>
    <xf numFmtId="0" fontId="17" fillId="0" borderId="41" xfId="0" applyFont="1" applyBorder="1" applyAlignment="1" applyProtection="1">
      <alignment horizontal="center" vertical="center"/>
    </xf>
    <xf numFmtId="0" fontId="2" fillId="0" borderId="36" xfId="0" applyFont="1" applyBorder="1" applyAlignment="1">
      <alignment horizontal="left"/>
    </xf>
    <xf numFmtId="0" fontId="3" fillId="0" borderId="31" xfId="0" applyFont="1" applyFill="1" applyBorder="1" applyAlignment="1">
      <alignment vertical="center" wrapText="1"/>
    </xf>
    <xf numFmtId="0" fontId="16" fillId="6" borderId="0" xfId="0" applyFont="1" applyFill="1" applyBorder="1" applyAlignment="1" applyProtection="1">
      <alignment horizontal="center" vertical="center"/>
    </xf>
    <xf numFmtId="0" fontId="9" fillId="0" borderId="0" xfId="0" applyFont="1" applyBorder="1" applyAlignment="1" applyProtection="1">
      <alignment vertical="center"/>
    </xf>
    <xf numFmtId="0" fontId="16" fillId="6" borderId="29" xfId="0" applyFont="1" applyFill="1" applyBorder="1" applyAlignment="1" applyProtection="1">
      <alignment horizontal="center" vertical="center"/>
    </xf>
    <xf numFmtId="0" fontId="15" fillId="6" borderId="30" xfId="0" applyFont="1" applyFill="1" applyBorder="1" applyAlignment="1" applyProtection="1">
      <alignment horizontal="center" vertical="center"/>
    </xf>
    <xf numFmtId="0" fontId="40" fillId="0" borderId="80" xfId="0" applyFont="1" applyBorder="1" applyAlignment="1" applyProtection="1">
      <alignment horizontal="center" vertical="center"/>
    </xf>
    <xf numFmtId="2" fontId="15" fillId="6" borderId="29" xfId="0" applyNumberFormat="1" applyFont="1" applyFill="1" applyBorder="1" applyAlignment="1" applyProtection="1">
      <alignment horizontal="center" vertical="center"/>
    </xf>
    <xf numFmtId="0" fontId="15" fillId="0" borderId="80" xfId="0" applyFont="1" applyBorder="1" applyAlignment="1" applyProtection="1">
      <alignment horizontal="center" vertical="center"/>
    </xf>
    <xf numFmtId="0" fontId="17" fillId="0" borderId="6" xfId="0" applyFont="1" applyBorder="1" applyAlignment="1" applyProtection="1">
      <alignment vertical="center" wrapText="1"/>
    </xf>
    <xf numFmtId="0" fontId="17" fillId="6" borderId="83" xfId="0"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17" fillId="6" borderId="80"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25" fillId="6" borderId="6" xfId="0" applyFont="1" applyFill="1" applyBorder="1" applyAlignment="1" applyProtection="1">
      <alignment horizontal="center" vertical="center" wrapText="1"/>
    </xf>
    <xf numFmtId="164" fontId="15" fillId="6" borderId="29" xfId="0" applyNumberFormat="1" applyFont="1" applyFill="1" applyBorder="1" applyAlignment="1" applyProtection="1">
      <alignment horizontal="center" vertical="center"/>
    </xf>
    <xf numFmtId="0" fontId="0" fillId="0" borderId="0" xfId="0" applyAlignment="1"/>
    <xf numFmtId="0" fontId="74" fillId="0" borderId="0" xfId="0" applyFont="1" applyAlignment="1">
      <alignment vertical="center"/>
    </xf>
    <xf numFmtId="0" fontId="17" fillId="6" borderId="62" xfId="0" applyFont="1" applyFill="1" applyBorder="1" applyAlignment="1" applyProtection="1">
      <alignment horizontal="center" vertical="center"/>
    </xf>
    <xf numFmtId="0" fontId="17" fillId="6" borderId="63" xfId="0" applyFont="1" applyFill="1" applyBorder="1" applyAlignment="1" applyProtection="1">
      <alignment horizontal="center" vertical="center"/>
    </xf>
    <xf numFmtId="0" fontId="16" fillId="6" borderId="107" xfId="0" applyFont="1" applyFill="1" applyBorder="1" applyAlignment="1" applyProtection="1">
      <alignment horizontal="center" vertical="center"/>
      <protection locked="0"/>
    </xf>
    <xf numFmtId="0" fontId="16" fillId="6" borderId="108" xfId="0" applyFont="1" applyFill="1" applyBorder="1" applyAlignment="1" applyProtection="1">
      <alignment horizontal="center" vertical="center"/>
      <protection locked="0"/>
    </xf>
    <xf numFmtId="0" fontId="16" fillId="6" borderId="18" xfId="0" applyFont="1" applyFill="1" applyBorder="1" applyAlignment="1" applyProtection="1">
      <alignment horizontal="center" vertical="center"/>
      <protection locked="0"/>
    </xf>
    <xf numFmtId="0" fontId="16" fillId="6" borderId="109" xfId="0" applyFont="1" applyFill="1" applyBorder="1" applyAlignment="1" applyProtection="1">
      <alignment horizontal="center" vertical="center"/>
      <protection locked="0"/>
    </xf>
    <xf numFmtId="0" fontId="75" fillId="0" borderId="0" xfId="0" applyFont="1" applyFill="1" applyBorder="1" applyAlignment="1">
      <alignment vertical="center"/>
    </xf>
    <xf numFmtId="0" fontId="3" fillId="0" borderId="19" xfId="0" applyFont="1" applyBorder="1" applyAlignment="1">
      <alignment horizontal="left"/>
    </xf>
    <xf numFmtId="2" fontId="16" fillId="6" borderId="29" xfId="0" applyNumberFormat="1" applyFont="1" applyFill="1" applyBorder="1" applyAlignment="1" applyProtection="1">
      <alignment horizontal="center" vertical="center" wrapText="1"/>
    </xf>
    <xf numFmtId="2" fontId="16" fillId="6" borderId="29"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horizontal="center" vertical="center" wrapText="1"/>
    </xf>
    <xf numFmtId="2" fontId="16" fillId="6" borderId="2" xfId="0" applyNumberFormat="1" applyFont="1" applyFill="1" applyBorder="1" applyAlignment="1" applyProtection="1">
      <alignment horizontal="center" vertical="center" wrapText="1"/>
    </xf>
    <xf numFmtId="2" fontId="16" fillId="6" borderId="2" xfId="0" applyNumberFormat="1" applyFont="1" applyFill="1" applyBorder="1" applyAlignment="1" applyProtection="1">
      <alignment horizontal="center" vertical="center"/>
    </xf>
    <xf numFmtId="0" fontId="16" fillId="6" borderId="0" xfId="0" applyFont="1" applyFill="1" applyBorder="1" applyAlignment="1"/>
    <xf numFmtId="0" fontId="0" fillId="6" borderId="0" xfId="0" applyFont="1" applyFill="1" applyBorder="1" applyAlignment="1">
      <alignment vertical="center"/>
    </xf>
    <xf numFmtId="0" fontId="2" fillId="6" borderId="6" xfId="0" applyFont="1" applyFill="1" applyBorder="1" applyAlignment="1">
      <alignment horizontal="center" vertical="center"/>
    </xf>
    <xf numFmtId="2" fontId="64" fillId="6" borderId="6" xfId="0" applyNumberFormat="1" applyFont="1" applyFill="1" applyBorder="1" applyAlignment="1">
      <alignment horizontal="center" vertical="center"/>
    </xf>
    <xf numFmtId="0" fontId="64" fillId="6" borderId="6" xfId="0" applyFont="1" applyFill="1" applyBorder="1" applyAlignment="1">
      <alignment horizontal="center" vertical="center"/>
    </xf>
    <xf numFmtId="0" fontId="66" fillId="0" borderId="0" xfId="0" applyFont="1" applyFill="1" applyBorder="1" applyAlignment="1" applyProtection="1">
      <alignment vertical="center"/>
    </xf>
    <xf numFmtId="0" fontId="15" fillId="0" borderId="0" xfId="0" applyFont="1" applyFill="1" applyBorder="1" applyAlignment="1" applyProtection="1">
      <alignment horizontal="left" vertical="center" indent="2"/>
    </xf>
    <xf numFmtId="2" fontId="33" fillId="0" borderId="51" xfId="0" applyNumberFormat="1" applyFont="1" applyFill="1" applyBorder="1" applyAlignment="1" applyProtection="1">
      <alignment horizontal="center" vertical="center"/>
    </xf>
    <xf numFmtId="2" fontId="33" fillId="0" borderId="52" xfId="0" applyNumberFormat="1" applyFont="1" applyFill="1" applyBorder="1" applyAlignment="1" applyProtection="1">
      <alignment horizontal="center" vertical="center"/>
    </xf>
    <xf numFmtId="2" fontId="15" fillId="0" borderId="2" xfId="0" applyNumberFormat="1" applyFont="1" applyBorder="1" applyAlignment="1" applyProtection="1">
      <alignment horizontal="center" vertical="center"/>
    </xf>
    <xf numFmtId="2" fontId="15" fillId="0" borderId="45" xfId="0" applyNumberFormat="1" applyFont="1" applyBorder="1" applyAlignment="1" applyProtection="1">
      <alignment horizontal="center" vertical="center"/>
    </xf>
    <xf numFmtId="2" fontId="33" fillId="0" borderId="63" xfId="0" applyNumberFormat="1" applyFont="1" applyFill="1" applyBorder="1" applyAlignment="1" applyProtection="1">
      <alignment horizontal="center" vertical="center"/>
    </xf>
    <xf numFmtId="2" fontId="15" fillId="0" borderId="1" xfId="0" applyNumberFormat="1" applyFont="1" applyBorder="1" applyAlignment="1" applyProtection="1">
      <alignment horizontal="center" vertical="center"/>
    </xf>
    <xf numFmtId="2" fontId="33" fillId="0" borderId="54" xfId="0" applyNumberFormat="1" applyFont="1" applyFill="1" applyBorder="1" applyAlignment="1" applyProtection="1">
      <alignment horizontal="center" vertical="center"/>
    </xf>
    <xf numFmtId="2" fontId="9" fillId="12" borderId="51" xfId="0" applyNumberFormat="1" applyFont="1" applyFill="1" applyBorder="1" applyAlignment="1">
      <alignment horizontal="center" vertical="center"/>
    </xf>
    <xf numFmtId="2" fontId="16" fillId="10" borderId="2" xfId="0" applyNumberFormat="1" applyFont="1" applyFill="1" applyBorder="1" applyAlignment="1">
      <alignment horizontal="center" vertical="center"/>
    </xf>
    <xf numFmtId="0" fontId="3" fillId="0" borderId="0" xfId="0" applyFont="1" applyAlignment="1">
      <alignment vertical="center"/>
    </xf>
    <xf numFmtId="0" fontId="15" fillId="0" borderId="103" xfId="0" applyFont="1" applyFill="1" applyBorder="1" applyAlignment="1">
      <alignment horizontal="left" vertical="top"/>
    </xf>
    <xf numFmtId="49" fontId="15" fillId="0" borderId="0" xfId="0" applyNumberFormat="1" applyFont="1" applyFill="1" applyBorder="1" applyAlignment="1">
      <alignment horizontal="center" vertical="top"/>
    </xf>
    <xf numFmtId="49" fontId="15" fillId="0" borderId="99" xfId="0" applyNumberFormat="1" applyFont="1" applyFill="1" applyBorder="1" applyAlignment="1">
      <alignment horizontal="center" vertical="top"/>
    </xf>
    <xf numFmtId="49" fontId="15" fillId="0" borderId="90" xfId="0" applyNumberFormat="1" applyFont="1" applyFill="1" applyBorder="1" applyAlignment="1">
      <alignment horizontal="center" vertical="top"/>
    </xf>
    <xf numFmtId="49" fontId="15" fillId="0" borderId="100" xfId="0" applyNumberFormat="1" applyFont="1" applyFill="1" applyBorder="1" applyAlignment="1">
      <alignment horizontal="center" vertical="top"/>
    </xf>
    <xf numFmtId="0" fontId="15" fillId="0" borderId="96" xfId="0" applyFont="1" applyFill="1" applyBorder="1" applyAlignment="1">
      <alignment vertical="top"/>
    </xf>
    <xf numFmtId="0" fontId="15" fillId="0" borderId="94" xfId="0" applyFont="1" applyFill="1" applyBorder="1" applyAlignment="1">
      <alignment vertical="top"/>
    </xf>
    <xf numFmtId="0" fontId="15" fillId="0" borderId="93" xfId="0" applyFont="1" applyFill="1" applyBorder="1" applyAlignment="1">
      <alignment vertical="top"/>
    </xf>
    <xf numFmtId="0" fontId="15" fillId="0" borderId="10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53" xfId="0" applyFont="1" applyFill="1" applyBorder="1" applyAlignment="1">
      <alignment horizontal="left" vertical="top"/>
    </xf>
    <xf numFmtId="0" fontId="15" fillId="0" borderId="46" xfId="0" applyFont="1" applyFill="1" applyBorder="1" applyAlignment="1">
      <alignment horizontal="left" vertical="top"/>
    </xf>
    <xf numFmtId="0" fontId="15" fillId="0" borderId="97" xfId="0" applyFont="1" applyFill="1" applyBorder="1" applyAlignment="1">
      <alignment horizontal="left" vertical="top"/>
    </xf>
    <xf numFmtId="0" fontId="15" fillId="0" borderId="95" xfId="0" applyFont="1" applyFill="1" applyBorder="1" applyAlignment="1">
      <alignment horizontal="left" vertical="top"/>
    </xf>
    <xf numFmtId="0" fontId="15" fillId="0" borderId="91" xfId="0" applyFont="1" applyFill="1" applyBorder="1" applyAlignment="1">
      <alignment horizontal="left" vertical="top"/>
    </xf>
    <xf numFmtId="0" fontId="15" fillId="0" borderId="92" xfId="0" applyFont="1" applyFill="1" applyBorder="1" applyAlignment="1">
      <alignment horizontal="left" vertical="top"/>
    </xf>
    <xf numFmtId="0" fontId="17" fillId="6" borderId="70" xfId="0" applyFont="1" applyFill="1" applyBorder="1" applyAlignment="1">
      <alignment horizontal="left" vertical="center" wrapText="1" indent="1"/>
    </xf>
    <xf numFmtId="0" fontId="17" fillId="6" borderId="83" xfId="0" applyFont="1" applyFill="1" applyBorder="1" applyAlignment="1">
      <alignment horizontal="left" vertical="center" wrapText="1" indent="1"/>
    </xf>
    <xf numFmtId="0" fontId="17" fillId="6" borderId="71" xfId="0" applyFont="1" applyFill="1" applyBorder="1" applyAlignment="1">
      <alignment horizontal="left" vertical="center" wrapText="1" indent="1"/>
    </xf>
    <xf numFmtId="0" fontId="17" fillId="6" borderId="57" xfId="0" applyFont="1" applyFill="1" applyBorder="1" applyAlignment="1">
      <alignment horizontal="left" vertical="top" wrapText="1" indent="1"/>
    </xf>
    <xf numFmtId="0" fontId="17" fillId="6" borderId="31" xfId="0" applyFont="1" applyFill="1" applyBorder="1" applyAlignment="1">
      <alignment horizontal="left" vertical="top" wrapText="1" indent="1"/>
    </xf>
    <xf numFmtId="0" fontId="17" fillId="6" borderId="52" xfId="0" applyFont="1" applyFill="1" applyBorder="1" applyAlignment="1">
      <alignment horizontal="left" vertical="top" wrapText="1" indent="1"/>
    </xf>
    <xf numFmtId="0" fontId="15" fillId="0" borderId="0" xfId="0" applyFont="1" applyBorder="1" applyAlignment="1">
      <alignment horizontal="left" vertical="top" wrapText="1"/>
    </xf>
    <xf numFmtId="0" fontId="15" fillId="0" borderId="101" xfId="0" applyFont="1" applyFill="1" applyBorder="1" applyAlignment="1">
      <alignment horizontal="left" vertical="top"/>
    </xf>
    <xf numFmtId="0" fontId="15" fillId="0" borderId="102" xfId="0" applyFont="1" applyBorder="1" applyAlignment="1">
      <alignment horizontal="left" vertical="top"/>
    </xf>
    <xf numFmtId="0" fontId="15" fillId="0" borderId="104" xfId="0" applyFont="1" applyFill="1" applyBorder="1" applyAlignment="1">
      <alignment horizontal="left" vertical="top" wrapText="1"/>
    </xf>
    <xf numFmtId="0" fontId="15" fillId="0" borderId="101" xfId="0" applyFont="1" applyFill="1" applyBorder="1" applyAlignment="1">
      <alignment horizontal="left" vertical="top" wrapText="1"/>
    </xf>
    <xf numFmtId="0" fontId="15" fillId="0" borderId="98" xfId="0" applyFont="1" applyFill="1" applyBorder="1" applyAlignment="1">
      <alignment horizontal="left" vertical="center"/>
    </xf>
    <xf numFmtId="0" fontId="15" fillId="0" borderId="94" xfId="0" applyFont="1" applyFill="1" applyBorder="1" applyAlignment="1">
      <alignment horizontal="left" vertical="center"/>
    </xf>
    <xf numFmtId="0" fontId="15" fillId="0" borderId="93" xfId="0" applyFont="1" applyFill="1" applyBorder="1" applyAlignment="1">
      <alignment horizontal="left" vertical="center"/>
    </xf>
    <xf numFmtId="0" fontId="0" fillId="0" borderId="0" xfId="0" applyAlignment="1">
      <alignment horizontal="center" vertical="center" wrapText="1"/>
    </xf>
    <xf numFmtId="0" fontId="62" fillId="6" borderId="0" xfId="0" applyFont="1" applyFill="1" applyBorder="1" applyAlignment="1">
      <alignment horizontal="left" vertical="center"/>
    </xf>
    <xf numFmtId="0" fontId="15" fillId="6" borderId="0" xfId="0" applyFont="1" applyFill="1" applyBorder="1" applyAlignment="1">
      <alignment horizontal="left" vertical="top"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69" xfId="0" applyFont="1" applyBorder="1" applyAlignment="1">
      <alignment horizontal="center" vertical="center" wrapText="1"/>
    </xf>
    <xf numFmtId="0" fontId="37" fillId="7" borderId="80" xfId="0" applyFont="1" applyFill="1" applyBorder="1" applyAlignment="1" applyProtection="1">
      <alignment horizontal="center" vertical="center" wrapText="1"/>
      <protection locked="0"/>
    </xf>
    <xf numFmtId="0" fontId="37" fillId="7" borderId="81" xfId="0" applyFont="1" applyFill="1" applyBorder="1" applyAlignment="1" applyProtection="1">
      <alignment horizontal="center" vertical="center" wrapText="1"/>
      <protection locked="0"/>
    </xf>
    <xf numFmtId="0" fontId="6" fillId="6" borderId="69" xfId="0" applyFont="1" applyFill="1" applyBorder="1" applyAlignment="1" applyProtection="1">
      <alignment horizontal="center" vertical="center"/>
    </xf>
    <xf numFmtId="0" fontId="6" fillId="6" borderId="77" xfId="0" applyFont="1" applyFill="1" applyBorder="1" applyAlignment="1" applyProtection="1">
      <alignment horizontal="center" vertical="center"/>
    </xf>
    <xf numFmtId="0" fontId="6" fillId="6" borderId="82" xfId="0" applyFont="1" applyFill="1" applyBorder="1" applyAlignment="1" applyProtection="1">
      <alignment horizontal="center" vertical="center"/>
    </xf>
    <xf numFmtId="164" fontId="9" fillId="7" borderId="33" xfId="0" applyNumberFormat="1" applyFont="1" applyFill="1" applyBorder="1" applyAlignment="1" applyProtection="1">
      <alignment horizontal="center" vertical="center"/>
      <protection locked="0"/>
    </xf>
    <xf numFmtId="164" fontId="9" fillId="7" borderId="42" xfId="0" applyNumberFormat="1" applyFont="1" applyFill="1" applyBorder="1" applyAlignment="1" applyProtection="1">
      <alignment horizontal="center" vertical="center"/>
      <protection locked="0"/>
    </xf>
    <xf numFmtId="164" fontId="9" fillId="7" borderId="50" xfId="0" applyNumberFormat="1" applyFont="1" applyFill="1" applyBorder="1" applyAlignment="1" applyProtection="1">
      <alignment horizontal="center" vertical="center"/>
      <protection locked="0"/>
    </xf>
    <xf numFmtId="0" fontId="6" fillId="6" borderId="78" xfId="0" applyFont="1" applyFill="1" applyBorder="1" applyAlignment="1" applyProtection="1">
      <alignment horizontal="center" vertical="center"/>
    </xf>
    <xf numFmtId="164" fontId="9" fillId="7" borderId="45" xfId="0" applyNumberFormat="1"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wrapText="1"/>
    </xf>
    <xf numFmtId="0" fontId="9" fillId="6" borderId="74" xfId="0" applyFont="1" applyFill="1" applyBorder="1" applyAlignment="1" applyProtection="1">
      <alignment horizontal="center" vertical="center" wrapText="1"/>
    </xf>
    <xf numFmtId="0" fontId="9" fillId="6" borderId="75" xfId="0" applyFont="1" applyFill="1" applyBorder="1" applyAlignment="1" applyProtection="1">
      <alignment horizontal="center" vertical="center" wrapText="1"/>
    </xf>
    <xf numFmtId="0" fontId="15" fillId="6" borderId="0" xfId="0" applyFont="1" applyFill="1" applyBorder="1" applyAlignment="1">
      <alignment horizontal="left" vertical="center" wrapText="1"/>
    </xf>
    <xf numFmtId="0" fontId="15" fillId="6" borderId="53" xfId="0" applyFont="1" applyFill="1" applyBorder="1" applyAlignment="1">
      <alignment horizontal="left" vertical="center" wrapText="1"/>
    </xf>
    <xf numFmtId="164" fontId="16" fillId="6" borderId="41" xfId="0" applyNumberFormat="1" applyFont="1" applyFill="1" applyBorder="1" applyAlignment="1" applyProtection="1">
      <alignment horizontal="center" vertical="center"/>
    </xf>
    <xf numFmtId="164" fontId="16" fillId="6" borderId="54" xfId="0" applyNumberFormat="1" applyFont="1" applyFill="1" applyBorder="1" applyAlignment="1" applyProtection="1">
      <alignment horizontal="center" vertical="center"/>
    </xf>
    <xf numFmtId="0" fontId="16" fillId="6" borderId="79" xfId="0" applyFont="1" applyFill="1" applyBorder="1" applyAlignment="1" applyProtection="1">
      <alignment horizontal="center" vertical="center"/>
    </xf>
    <xf numFmtId="0" fontId="16" fillId="6" borderId="7"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6" fillId="6" borderId="3"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33" xfId="0" applyFont="1" applyFill="1" applyBorder="1" applyAlignment="1" applyProtection="1">
      <alignment horizontal="center" vertical="center" wrapText="1"/>
    </xf>
    <xf numFmtId="0" fontId="37" fillId="7" borderId="2" xfId="0" applyFont="1" applyFill="1" applyBorder="1" applyAlignment="1" applyProtection="1">
      <alignment horizontal="center" vertical="center" wrapText="1"/>
      <protection locked="0"/>
    </xf>
    <xf numFmtId="0" fontId="37" fillId="7" borderId="1" xfId="0" applyFont="1" applyFill="1" applyBorder="1" applyAlignment="1" applyProtection="1">
      <alignment horizontal="center" vertical="center" wrapText="1"/>
      <protection locked="0"/>
    </xf>
    <xf numFmtId="164" fontId="16" fillId="6" borderId="60" xfId="0" applyNumberFormat="1" applyFont="1" applyFill="1" applyBorder="1" applyAlignment="1" applyProtection="1">
      <alignment horizontal="center" vertical="center"/>
    </xf>
    <xf numFmtId="164" fontId="16" fillId="6" borderId="47" xfId="0" applyNumberFormat="1" applyFont="1" applyFill="1" applyBorder="1" applyAlignment="1" applyProtection="1">
      <alignment horizontal="center" vertical="center"/>
    </xf>
    <xf numFmtId="164" fontId="16" fillId="6" borderId="58" xfId="0" applyNumberFormat="1" applyFont="1" applyFill="1" applyBorder="1" applyAlignment="1" applyProtection="1">
      <alignment horizontal="center" vertical="center"/>
    </xf>
    <xf numFmtId="0" fontId="6" fillId="6" borderId="72" xfId="0" applyFont="1" applyFill="1" applyBorder="1" applyAlignment="1" applyProtection="1">
      <alignment horizontal="left" vertical="center" wrapText="1"/>
    </xf>
    <xf numFmtId="0" fontId="17" fillId="6" borderId="74" xfId="0" applyFont="1" applyFill="1" applyBorder="1" applyAlignment="1" applyProtection="1">
      <alignment horizontal="left" vertical="center" wrapText="1"/>
    </xf>
    <xf numFmtId="0" fontId="17" fillId="6" borderId="75" xfId="0" applyFont="1" applyFill="1" applyBorder="1" applyAlignment="1" applyProtection="1">
      <alignment horizontal="left" vertical="center" wrapText="1"/>
    </xf>
    <xf numFmtId="0" fontId="17" fillId="6" borderId="67" xfId="0" applyFont="1" applyFill="1" applyBorder="1" applyAlignment="1" applyProtection="1">
      <alignment horizontal="center" vertical="center" wrapText="1"/>
    </xf>
    <xf numFmtId="0" fontId="17" fillId="6" borderId="48" xfId="0" applyFont="1" applyFill="1" applyBorder="1" applyAlignment="1" applyProtection="1">
      <alignment vertical="center"/>
    </xf>
    <xf numFmtId="0" fontId="16" fillId="6" borderId="59" xfId="0" applyFont="1" applyFill="1" applyBorder="1" applyAlignment="1" applyProtection="1">
      <alignment vertical="center"/>
    </xf>
    <xf numFmtId="0" fontId="9" fillId="6" borderId="62" xfId="0" applyFont="1" applyFill="1" applyBorder="1" applyAlignment="1" applyProtection="1">
      <alignment vertical="center"/>
    </xf>
    <xf numFmtId="0" fontId="9" fillId="6" borderId="63" xfId="0" applyFont="1" applyFill="1" applyBorder="1" applyAlignment="1" applyProtection="1">
      <alignment vertical="center"/>
    </xf>
    <xf numFmtId="0" fontId="16" fillId="6" borderId="80" xfId="0" applyFont="1" applyFill="1" applyBorder="1" applyAlignment="1" applyProtection="1">
      <alignment vertical="center"/>
    </xf>
    <xf numFmtId="0" fontId="16" fillId="6" borderId="69" xfId="0" applyFont="1" applyFill="1" applyBorder="1" applyAlignment="1" applyProtection="1">
      <alignment vertical="center"/>
    </xf>
    <xf numFmtId="0" fontId="16" fillId="6" borderId="82" xfId="0" applyFont="1" applyFill="1" applyBorder="1" applyAlignment="1" applyProtection="1">
      <alignment horizontal="center" vertical="center"/>
    </xf>
    <xf numFmtId="0" fontId="16" fillId="6" borderId="81" xfId="0" applyFont="1" applyFill="1" applyBorder="1" applyAlignment="1" applyProtection="1">
      <alignment vertical="center"/>
    </xf>
    <xf numFmtId="0" fontId="16" fillId="6" borderId="67" xfId="0" applyFont="1" applyFill="1" applyBorder="1" applyAlignment="1" applyProtection="1">
      <alignment horizontal="center" vertical="center"/>
    </xf>
    <xf numFmtId="0" fontId="16" fillId="6" borderId="59" xfId="0" applyFont="1" applyFill="1" applyBorder="1" applyAlignment="1" applyProtection="1">
      <alignment horizontal="center" vertical="center"/>
    </xf>
    <xf numFmtId="164" fontId="16" fillId="6" borderId="46" xfId="0" applyNumberFormat="1" applyFont="1" applyFill="1" applyBorder="1" applyAlignment="1" applyProtection="1">
      <alignment horizontal="center" vertical="center"/>
    </xf>
    <xf numFmtId="164" fontId="16" fillId="6" borderId="51" xfId="0" applyNumberFormat="1" applyFont="1" applyFill="1" applyBorder="1" applyAlignment="1" applyProtection="1">
      <alignment horizontal="center" vertical="center"/>
    </xf>
    <xf numFmtId="164" fontId="16" fillId="6" borderId="84" xfId="0" applyNumberFormat="1" applyFont="1" applyFill="1" applyBorder="1" applyAlignment="1" applyProtection="1">
      <alignment horizontal="center" vertical="center"/>
    </xf>
    <xf numFmtId="164" fontId="16" fillId="6" borderId="85" xfId="0" applyNumberFormat="1" applyFont="1" applyFill="1" applyBorder="1" applyAlignment="1" applyProtection="1">
      <alignment horizontal="center" vertical="center"/>
    </xf>
    <xf numFmtId="164" fontId="16" fillId="6" borderId="65" xfId="0" applyNumberFormat="1" applyFont="1" applyFill="1" applyBorder="1" applyAlignment="1" applyProtection="1">
      <alignment horizontal="center" vertical="center"/>
    </xf>
    <xf numFmtId="164" fontId="16" fillId="6" borderId="66" xfId="0" applyNumberFormat="1" applyFont="1" applyFill="1" applyBorder="1" applyAlignment="1" applyProtection="1">
      <alignment horizontal="center" vertical="center"/>
    </xf>
    <xf numFmtId="164" fontId="16" fillId="6" borderId="68" xfId="0" applyNumberFormat="1" applyFont="1" applyFill="1" applyBorder="1" applyAlignment="1" applyProtection="1">
      <alignment horizontal="center" vertical="center"/>
    </xf>
    <xf numFmtId="0" fontId="9" fillId="0" borderId="72" xfId="0" applyFont="1" applyFill="1" applyBorder="1" applyAlignment="1" applyProtection="1">
      <alignment horizontal="left" vertical="center" wrapText="1"/>
    </xf>
    <xf numFmtId="0" fontId="9" fillId="0" borderId="74" xfId="0" applyFont="1" applyFill="1" applyBorder="1" applyAlignment="1" applyProtection="1">
      <alignment horizontal="left" vertical="center" wrapText="1"/>
    </xf>
    <xf numFmtId="0" fontId="9" fillId="0" borderId="75" xfId="0" applyFont="1" applyFill="1" applyBorder="1" applyAlignment="1" applyProtection="1">
      <alignment horizontal="left" vertical="center" wrapText="1"/>
    </xf>
    <xf numFmtId="0" fontId="9" fillId="0" borderId="48" xfId="0" applyFont="1" applyFill="1" applyBorder="1" applyAlignment="1" applyProtection="1">
      <alignment horizontal="center" vertical="center" textRotation="90" wrapText="1"/>
    </xf>
    <xf numFmtId="0" fontId="9" fillId="0" borderId="59" xfId="0" applyFont="1" applyFill="1" applyBorder="1" applyAlignment="1" applyProtection="1">
      <alignment horizontal="center" vertical="center" textRotation="90" wrapText="1"/>
    </xf>
    <xf numFmtId="0" fontId="6" fillId="0" borderId="74" xfId="0" applyFont="1" applyBorder="1" applyAlignment="1" applyProtection="1">
      <alignment horizontal="center" vertical="center"/>
    </xf>
    <xf numFmtId="0" fontId="9" fillId="0" borderId="74" xfId="0" applyFont="1" applyFill="1" applyBorder="1" applyAlignment="1" applyProtection="1">
      <alignment horizontal="center" vertical="center" textRotation="90" wrapText="1"/>
    </xf>
    <xf numFmtId="0" fontId="38" fillId="0" borderId="74" xfId="0" applyFont="1" applyFill="1" applyBorder="1" applyAlignment="1" applyProtection="1">
      <alignment horizontal="center" vertical="center" textRotation="90" wrapText="1"/>
    </xf>
    <xf numFmtId="0" fontId="6" fillId="0" borderId="79" xfId="0" applyFont="1" applyBorder="1" applyAlignment="1" applyProtection="1">
      <alignment horizontal="center" vertical="center"/>
    </xf>
    <xf numFmtId="0" fontId="6" fillId="0" borderId="8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2" fontId="16" fillId="0" borderId="22" xfId="0" applyNumberFormat="1" applyFont="1" applyBorder="1" applyAlignment="1" applyProtection="1">
      <alignment horizontal="center" vertical="center"/>
    </xf>
    <xf numFmtId="2" fontId="16" fillId="0" borderId="21" xfId="0" applyNumberFormat="1" applyFont="1" applyBorder="1" applyAlignment="1" applyProtection="1">
      <alignment horizontal="center" vertical="center"/>
    </xf>
    <xf numFmtId="2" fontId="16" fillId="0" borderId="23" xfId="0" applyNumberFormat="1" applyFont="1" applyBorder="1" applyAlignment="1" applyProtection="1">
      <alignment horizontal="center" vertical="center"/>
    </xf>
    <xf numFmtId="0" fontId="16" fillId="0" borderId="56" xfId="0" applyFont="1" applyFill="1" applyBorder="1" applyAlignment="1" applyProtection="1">
      <alignment vertical="center" wrapText="1"/>
    </xf>
    <xf numFmtId="0" fontId="16" fillId="0" borderId="38" xfId="0" applyFont="1" applyFill="1" applyBorder="1" applyAlignment="1" applyProtection="1">
      <alignment vertical="center" wrapText="1"/>
    </xf>
    <xf numFmtId="0" fontId="16" fillId="0" borderId="39" xfId="0" applyFont="1" applyFill="1" applyBorder="1" applyAlignment="1" applyProtection="1">
      <alignment vertical="center" wrapText="1"/>
    </xf>
    <xf numFmtId="2" fontId="16" fillId="0" borderId="22" xfId="0" applyNumberFormat="1" applyFont="1" applyFill="1" applyBorder="1" applyAlignment="1" applyProtection="1">
      <alignment horizontal="center" vertical="center"/>
    </xf>
    <xf numFmtId="2" fontId="16" fillId="0" borderId="21" xfId="0" applyNumberFormat="1" applyFont="1" applyFill="1" applyBorder="1" applyAlignment="1" applyProtection="1">
      <alignment horizontal="center" vertical="center"/>
    </xf>
    <xf numFmtId="2" fontId="16" fillId="0" borderId="23" xfId="0" applyNumberFormat="1"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73" xfId="0" applyFont="1" applyFill="1" applyBorder="1" applyAlignment="1" applyProtection="1">
      <alignment horizontal="center" vertical="center" textRotation="90" wrapText="1"/>
    </xf>
    <xf numFmtId="0" fontId="38" fillId="0" borderId="8" xfId="0" applyFont="1" applyFill="1" applyBorder="1" applyAlignment="1" applyProtection="1">
      <alignment horizontal="center" vertical="center" textRotation="90" wrapText="1"/>
    </xf>
    <xf numFmtId="0" fontId="38" fillId="0" borderId="4" xfId="0" applyFont="1" applyFill="1" applyBorder="1" applyAlignment="1" applyProtection="1">
      <alignment horizontal="center" vertical="center" textRotation="90" wrapText="1"/>
    </xf>
    <xf numFmtId="0" fontId="16" fillId="0" borderId="60" xfId="0" applyFont="1" applyFill="1" applyBorder="1" applyAlignment="1" applyProtection="1">
      <alignment horizontal="center" vertical="center" wrapText="1"/>
    </xf>
    <xf numFmtId="0" fontId="16" fillId="0" borderId="47" xfId="0" applyFont="1" applyFill="1" applyBorder="1" applyAlignment="1" applyProtection="1">
      <alignment horizontal="center" vertical="center" wrapText="1"/>
    </xf>
    <xf numFmtId="0" fontId="16" fillId="0" borderId="34"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9" fillId="0" borderId="57" xfId="0" applyFont="1" applyFill="1" applyBorder="1" applyAlignment="1" applyProtection="1">
      <alignment horizontal="left" vertical="center" wrapText="1"/>
    </xf>
    <xf numFmtId="0" fontId="9" fillId="0" borderId="31" xfId="0" applyFont="1" applyFill="1" applyBorder="1" applyAlignment="1" applyProtection="1">
      <alignment horizontal="left" vertical="center" wrapText="1"/>
    </xf>
    <xf numFmtId="0" fontId="9" fillId="0" borderId="52" xfId="0" applyFont="1" applyFill="1" applyBorder="1" applyAlignment="1" applyProtection="1">
      <alignment horizontal="left" vertical="center" wrapText="1"/>
    </xf>
    <xf numFmtId="0" fontId="9" fillId="0" borderId="74"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48" xfId="0" applyFont="1" applyBorder="1" applyAlignment="1" applyProtection="1">
      <alignment horizontal="center" vertical="center" textRotation="90" wrapText="1"/>
    </xf>
    <xf numFmtId="0" fontId="9" fillId="0" borderId="59" xfId="0" applyFont="1" applyBorder="1" applyAlignment="1" applyProtection="1">
      <alignment horizontal="center" vertical="center" textRotation="90" wrapText="1"/>
    </xf>
    <xf numFmtId="0" fontId="16" fillId="0" borderId="60" xfId="0" applyFont="1" applyFill="1" applyBorder="1" applyAlignment="1" applyProtection="1">
      <alignment horizontal="left" vertical="center" wrapText="1"/>
    </xf>
    <xf numFmtId="0" fontId="16" fillId="0" borderId="47" xfId="0" applyFont="1" applyFill="1" applyBorder="1" applyAlignment="1" applyProtection="1">
      <alignment horizontal="left" vertical="center" wrapText="1"/>
    </xf>
    <xf numFmtId="0" fontId="16" fillId="0" borderId="58" xfId="0" applyFont="1" applyFill="1" applyBorder="1" applyAlignment="1" applyProtection="1">
      <alignment horizontal="left" vertical="center" wrapText="1"/>
    </xf>
    <xf numFmtId="0" fontId="9" fillId="6" borderId="72" xfId="0" applyFont="1" applyFill="1" applyBorder="1" applyAlignment="1">
      <alignment horizontal="left" vertical="center" wrapText="1"/>
    </xf>
    <xf numFmtId="0" fontId="9" fillId="6" borderId="74" xfId="0" applyFont="1" applyFill="1" applyBorder="1" applyAlignment="1">
      <alignment horizontal="left" vertical="center" wrapText="1"/>
    </xf>
    <xf numFmtId="0" fontId="9" fillId="6" borderId="75" xfId="0" applyFont="1" applyFill="1" applyBorder="1" applyAlignment="1">
      <alignment horizontal="left" vertical="center" wrapText="1"/>
    </xf>
    <xf numFmtId="0" fontId="6" fillId="6" borderId="79"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0" fontId="6" fillId="6" borderId="33" xfId="0" applyFont="1" applyFill="1" applyBorder="1" applyAlignment="1" applyProtection="1">
      <alignment horizontal="center" vertical="center"/>
    </xf>
    <xf numFmtId="0" fontId="6" fillId="6" borderId="70" xfId="0" applyFont="1" applyFill="1" applyBorder="1" applyAlignment="1">
      <alignment horizontal="left" vertical="center" wrapText="1"/>
    </xf>
    <xf numFmtId="0" fontId="6" fillId="6" borderId="83" xfId="0" applyFont="1" applyFill="1" applyBorder="1" applyAlignment="1">
      <alignment horizontal="left" vertical="center" wrapText="1"/>
    </xf>
    <xf numFmtId="0" fontId="6" fillId="6" borderId="71"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57"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6" borderId="52" xfId="0" applyFont="1" applyFill="1" applyBorder="1" applyAlignment="1">
      <alignment horizontal="left" vertical="center" wrapText="1"/>
    </xf>
    <xf numFmtId="0" fontId="37" fillId="6" borderId="80" xfId="0" applyFont="1" applyFill="1" applyBorder="1" applyAlignment="1" applyProtection="1">
      <alignment horizontal="center" vertical="center"/>
    </xf>
    <xf numFmtId="0" fontId="37" fillId="6" borderId="81" xfId="0" applyFont="1" applyFill="1" applyBorder="1" applyAlignment="1" applyProtection="1">
      <alignment horizontal="center" vertical="center"/>
    </xf>
    <xf numFmtId="0" fontId="37" fillId="6" borderId="2" xfId="0" applyFont="1" applyFill="1" applyBorder="1" applyAlignment="1" applyProtection="1">
      <alignment horizontal="center" vertical="center"/>
    </xf>
    <xf numFmtId="0" fontId="37" fillId="6" borderId="1" xfId="0" applyFont="1" applyFill="1" applyBorder="1" applyAlignment="1" applyProtection="1">
      <alignment horizontal="center" vertical="center"/>
    </xf>
    <xf numFmtId="0" fontId="16" fillId="6" borderId="0" xfId="0" applyFont="1" applyFill="1" applyBorder="1" applyAlignment="1">
      <alignment horizontal="left" vertical="top" wrapText="1"/>
    </xf>
    <xf numFmtId="0" fontId="9" fillId="0" borderId="0" xfId="0" applyFont="1" applyBorder="1" applyAlignment="1" applyProtection="1">
      <alignment horizontal="center" vertical="center"/>
    </xf>
    <xf numFmtId="0" fontId="9" fillId="0" borderId="18" xfId="0" applyFont="1" applyBorder="1" applyAlignment="1" applyProtection="1">
      <alignment horizontal="center" vertical="center"/>
    </xf>
    <xf numFmtId="0" fontId="16" fillId="0" borderId="7" xfId="0" applyFont="1" applyFill="1" applyBorder="1" applyAlignment="1" applyProtection="1">
      <alignment vertical="center"/>
    </xf>
    <xf numFmtId="0" fontId="16" fillId="0" borderId="5" xfId="0" applyFont="1" applyFill="1" applyBorder="1" applyAlignment="1" applyProtection="1">
      <alignment vertical="center"/>
    </xf>
    <xf numFmtId="0" fontId="9" fillId="0" borderId="67" xfId="0" applyFont="1" applyFill="1" applyBorder="1" applyAlignment="1" applyProtection="1">
      <alignment horizontal="center" vertical="center" textRotation="90" wrapText="1"/>
    </xf>
    <xf numFmtId="0" fontId="38" fillId="0" borderId="48" xfId="0" applyFont="1" applyFill="1" applyBorder="1" applyAlignment="1" applyProtection="1">
      <alignment horizontal="center" vertical="center" textRotation="90" wrapText="1"/>
    </xf>
    <xf numFmtId="0" fontId="38" fillId="0" borderId="59" xfId="0" applyFont="1" applyFill="1" applyBorder="1" applyAlignment="1" applyProtection="1">
      <alignment horizontal="center" vertical="center" textRotation="90" wrapText="1"/>
    </xf>
    <xf numFmtId="0" fontId="16" fillId="0" borderId="79" xfId="0" applyFont="1" applyFill="1" applyBorder="1" applyAlignment="1" applyProtection="1">
      <alignment vertical="center" wrapText="1"/>
    </xf>
    <xf numFmtId="0" fontId="16" fillId="0" borderId="81" xfId="0" applyFont="1" applyFill="1" applyBorder="1" applyAlignment="1" applyProtection="1">
      <alignment vertical="center" wrapText="1"/>
    </xf>
    <xf numFmtId="0" fontId="16" fillId="6" borderId="7" xfId="0" applyFont="1" applyFill="1" applyBorder="1" applyAlignment="1" applyProtection="1">
      <alignment vertical="center"/>
    </xf>
    <xf numFmtId="0" fontId="16" fillId="6" borderId="5" xfId="0" applyFont="1" applyFill="1" applyBorder="1" applyAlignment="1" applyProtection="1">
      <alignment vertical="center"/>
    </xf>
    <xf numFmtId="0" fontId="16" fillId="0" borderId="22" xfId="0" applyFont="1" applyFill="1" applyBorder="1" applyAlignment="1" applyProtection="1">
      <alignment horizontal="left" vertical="center"/>
    </xf>
    <xf numFmtId="0" fontId="16" fillId="0" borderId="23" xfId="0" applyFont="1" applyFill="1" applyBorder="1" applyAlignment="1" applyProtection="1">
      <alignment horizontal="left" vertical="center"/>
    </xf>
    <xf numFmtId="0" fontId="16" fillId="0" borderId="28" xfId="0" applyFont="1" applyFill="1" applyBorder="1" applyAlignment="1" applyProtection="1">
      <alignment horizontal="left" vertical="center"/>
    </xf>
    <xf numFmtId="0" fontId="16" fillId="0" borderId="45" xfId="0" applyFont="1" applyFill="1" applyBorder="1" applyAlignment="1" applyProtection="1">
      <alignment horizontal="left" vertical="center"/>
    </xf>
    <xf numFmtId="0" fontId="9" fillId="0" borderId="72" xfId="0" applyFont="1" applyBorder="1" applyAlignment="1" applyProtection="1">
      <alignment horizontal="left" vertical="center" wrapText="1"/>
    </xf>
    <xf numFmtId="0" fontId="9" fillId="0" borderId="74"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6" xfId="0" applyFont="1" applyBorder="1" applyAlignment="1" applyProtection="1">
      <alignment horizontal="left" vertical="center"/>
    </xf>
    <xf numFmtId="0" fontId="16" fillId="0" borderId="60" xfId="0" applyFont="1" applyBorder="1" applyAlignment="1" applyProtection="1">
      <alignment horizontal="left" vertical="center" wrapText="1"/>
    </xf>
    <xf numFmtId="0" fontId="16" fillId="0" borderId="47" xfId="0" applyFont="1" applyBorder="1" applyAlignment="1" applyProtection="1">
      <alignment horizontal="left" vertical="center" wrapText="1"/>
    </xf>
    <xf numFmtId="0" fontId="16" fillId="0" borderId="58" xfId="0" applyFont="1" applyBorder="1" applyAlignment="1" applyProtection="1">
      <alignment horizontal="left" vertical="center" wrapText="1"/>
    </xf>
    <xf numFmtId="0" fontId="16" fillId="0" borderId="69" xfId="0" applyFont="1" applyBorder="1" applyAlignment="1" applyProtection="1">
      <alignment horizontal="left" vertical="center" wrapText="1"/>
    </xf>
    <xf numFmtId="0" fontId="16" fillId="0" borderId="77" xfId="0" applyFont="1" applyBorder="1" applyAlignment="1" applyProtection="1">
      <alignment horizontal="left" vertical="center" wrapText="1"/>
    </xf>
    <xf numFmtId="0" fontId="16" fillId="0" borderId="78"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6" fillId="0" borderId="27"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0" borderId="38" xfId="0" applyFont="1" applyBorder="1" applyAlignment="1" applyProtection="1">
      <alignment horizontal="left" vertical="center"/>
    </xf>
    <xf numFmtId="0" fontId="16" fillId="0" borderId="27"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5" fillId="6" borderId="0" xfId="0" applyFont="1" applyFill="1" applyBorder="1" applyAlignment="1" applyProtection="1">
      <alignment horizontal="left" vertical="center"/>
    </xf>
    <xf numFmtId="0" fontId="6" fillId="6" borderId="80"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39" fillId="6" borderId="0" xfId="0" applyFont="1" applyFill="1" applyBorder="1" applyAlignment="1">
      <alignment horizontal="left" vertical="center" wrapText="1"/>
    </xf>
    <xf numFmtId="0" fontId="16" fillId="6" borderId="21" xfId="0" applyFont="1" applyFill="1" applyBorder="1" applyAlignment="1" applyProtection="1">
      <alignment horizontal="left" vertical="center" wrapText="1"/>
    </xf>
    <xf numFmtId="0" fontId="16" fillId="6" borderId="38" xfId="0" applyFont="1" applyFill="1" applyBorder="1" applyAlignment="1" applyProtection="1">
      <alignment horizontal="left" vertical="center" wrapText="1"/>
    </xf>
    <xf numFmtId="0" fontId="16" fillId="6" borderId="27" xfId="0" applyFont="1" applyFill="1" applyBorder="1" applyAlignment="1" applyProtection="1">
      <alignment horizontal="left" vertical="center" wrapText="1"/>
    </xf>
    <xf numFmtId="0" fontId="15" fillId="0" borderId="6" xfId="0" applyFont="1" applyFill="1" applyBorder="1" applyAlignment="1">
      <alignment horizontal="left" vertical="center" wrapText="1"/>
    </xf>
    <xf numFmtId="2" fontId="16" fillId="0" borderId="33" xfId="0" applyNumberFormat="1" applyFont="1" applyFill="1" applyBorder="1" applyAlignment="1" applyProtection="1">
      <alignment horizontal="center" vertical="center"/>
    </xf>
    <xf numFmtId="2" fontId="16" fillId="0" borderId="42" xfId="0" applyNumberFormat="1" applyFont="1" applyFill="1" applyBorder="1" applyAlignment="1" applyProtection="1">
      <alignment horizontal="center" vertical="center"/>
    </xf>
    <xf numFmtId="2" fontId="16" fillId="0" borderId="45" xfId="0" applyNumberFormat="1" applyFont="1" applyFill="1" applyBorder="1" applyAlignment="1" applyProtection="1">
      <alignment horizontal="center" vertical="center"/>
    </xf>
    <xf numFmtId="0" fontId="6" fillId="6" borderId="79" xfId="0" applyFont="1" applyFill="1" applyBorder="1" applyAlignment="1" applyProtection="1">
      <alignment horizontal="left" vertical="center" wrapText="1"/>
    </xf>
    <xf numFmtId="0" fontId="6" fillId="6" borderId="80" xfId="0" applyFont="1" applyFill="1" applyBorder="1" applyAlignment="1" applyProtection="1">
      <alignment horizontal="left" vertical="center" wrapText="1"/>
    </xf>
    <xf numFmtId="0" fontId="6" fillId="6" borderId="69" xfId="0" applyFont="1" applyFill="1" applyBorder="1" applyAlignment="1" applyProtection="1">
      <alignment horizontal="left" vertical="center" wrapText="1"/>
    </xf>
    <xf numFmtId="0" fontId="46" fillId="6" borderId="7" xfId="0" applyFont="1" applyFill="1" applyBorder="1" applyAlignment="1" applyProtection="1">
      <alignment horizontal="left" vertical="center" wrapText="1"/>
    </xf>
    <xf numFmtId="0" fontId="46" fillId="6" borderId="6" xfId="0" applyFont="1" applyFill="1" applyBorder="1" applyAlignment="1" applyProtection="1">
      <alignment horizontal="left" vertical="center" wrapText="1"/>
    </xf>
    <xf numFmtId="0" fontId="46" fillId="6" borderId="27" xfId="0" applyFont="1" applyFill="1" applyBorder="1" applyAlignment="1" applyProtection="1">
      <alignment horizontal="left" vertical="center" wrapText="1"/>
    </xf>
    <xf numFmtId="9" fontId="46" fillId="7" borderId="27" xfId="32" applyFont="1" applyFill="1" applyBorder="1" applyAlignment="1" applyProtection="1">
      <alignment horizontal="center" vertical="center" wrapText="1"/>
      <protection locked="0"/>
    </xf>
    <xf numFmtId="9" fontId="46" fillId="7" borderId="21" xfId="32" applyFont="1" applyFill="1" applyBorder="1" applyAlignment="1" applyProtection="1">
      <alignment horizontal="center" vertical="center" wrapText="1"/>
      <protection locked="0"/>
    </xf>
    <xf numFmtId="9" fontId="46" fillId="7" borderId="23" xfId="32" applyFont="1" applyFill="1" applyBorder="1" applyAlignment="1" applyProtection="1">
      <alignment horizontal="center" vertical="center" wrapText="1"/>
      <protection locked="0"/>
    </xf>
    <xf numFmtId="0" fontId="9" fillId="6" borderId="61" xfId="0" applyFont="1" applyFill="1" applyBorder="1" applyAlignment="1" applyProtection="1">
      <alignment horizontal="left" vertical="center" wrapText="1"/>
    </xf>
    <xf numFmtId="0" fontId="9" fillId="6" borderId="62" xfId="0" applyFont="1" applyFill="1" applyBorder="1" applyAlignment="1" applyProtection="1">
      <alignment horizontal="left" vertical="center" wrapText="1"/>
    </xf>
    <xf numFmtId="0" fontId="9" fillId="6" borderId="88" xfId="0" applyFont="1" applyFill="1" applyBorder="1" applyAlignment="1" applyProtection="1">
      <alignment horizontal="left" vertical="center" wrapText="1"/>
    </xf>
    <xf numFmtId="0" fontId="16" fillId="6" borderId="28" xfId="0" applyFont="1" applyFill="1" applyBorder="1" applyAlignment="1" applyProtection="1">
      <alignment horizontal="left" vertical="center"/>
    </xf>
    <xf numFmtId="0" fontId="16" fillId="6" borderId="42" xfId="0" applyFont="1" applyFill="1" applyBorder="1" applyAlignment="1" applyProtection="1">
      <alignment horizontal="left" vertical="center"/>
    </xf>
    <xf numFmtId="0" fontId="17" fillId="6" borderId="7" xfId="0" applyFont="1" applyFill="1" applyBorder="1" applyAlignment="1" applyProtection="1">
      <alignment horizontal="left" vertical="center" wrapText="1"/>
    </xf>
    <xf numFmtId="0" fontId="17" fillId="6" borderId="6" xfId="0" applyFont="1" applyFill="1" applyBorder="1" applyAlignment="1" applyProtection="1">
      <alignment horizontal="left" vertical="center" wrapText="1"/>
    </xf>
    <xf numFmtId="0" fontId="17" fillId="6" borderId="27" xfId="0" applyFont="1" applyFill="1" applyBorder="1" applyAlignment="1" applyProtection="1">
      <alignment horizontal="left" vertical="center" wrapText="1"/>
    </xf>
    <xf numFmtId="0" fontId="16" fillId="6" borderId="0" xfId="0" applyFont="1" applyFill="1" applyBorder="1" applyAlignment="1" applyProtection="1">
      <alignment horizontal="left" vertical="center" wrapText="1"/>
    </xf>
    <xf numFmtId="0" fontId="17" fillId="6" borderId="33" xfId="0" applyFont="1" applyFill="1" applyBorder="1" applyAlignment="1" applyProtection="1">
      <alignment horizontal="left" vertical="center" wrapText="1"/>
    </xf>
    <xf numFmtId="0" fontId="17" fillId="6" borderId="42" xfId="0" applyFont="1" applyFill="1" applyBorder="1" applyAlignment="1" applyProtection="1">
      <alignment horizontal="left" vertical="center" wrapText="1"/>
    </xf>
    <xf numFmtId="0" fontId="16" fillId="6" borderId="24" xfId="0" applyFont="1" applyFill="1" applyBorder="1" applyAlignment="1" applyProtection="1">
      <alignment horizontal="center" vertical="center"/>
    </xf>
    <xf numFmtId="0" fontId="16" fillId="6" borderId="20" xfId="0" applyFont="1" applyFill="1" applyBorder="1" applyAlignment="1" applyProtection="1">
      <alignment horizontal="center" vertical="center"/>
    </xf>
    <xf numFmtId="0" fontId="16" fillId="6" borderId="25" xfId="0" applyFont="1" applyFill="1" applyBorder="1" applyAlignment="1" applyProtection="1">
      <alignment horizontal="center" vertical="center"/>
    </xf>
    <xf numFmtId="0" fontId="16" fillId="6" borderId="19"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18" xfId="0" applyFont="1" applyFill="1" applyBorder="1" applyAlignment="1" applyProtection="1">
      <alignment horizontal="center" vertical="center"/>
    </xf>
    <xf numFmtId="0" fontId="16" fillId="6" borderId="43" xfId="0" applyFont="1" applyFill="1" applyBorder="1" applyAlignment="1" applyProtection="1">
      <alignment horizontal="center" vertical="center"/>
    </xf>
    <xf numFmtId="0" fontId="16" fillId="6" borderId="36" xfId="0" applyFont="1" applyFill="1" applyBorder="1" applyAlignment="1" applyProtection="1">
      <alignment horizontal="center" vertical="center"/>
    </xf>
    <xf numFmtId="0" fontId="16" fillId="6" borderId="49" xfId="0" applyFont="1" applyFill="1" applyBorder="1" applyAlignment="1" applyProtection="1">
      <alignment horizontal="center" vertical="center"/>
    </xf>
    <xf numFmtId="0" fontId="16" fillId="6" borderId="37" xfId="0" applyFont="1" applyFill="1" applyBorder="1" applyAlignment="1" applyProtection="1">
      <alignment horizontal="left" vertical="center" wrapText="1"/>
    </xf>
    <xf numFmtId="0" fontId="16" fillId="6" borderId="56" xfId="0" applyFont="1" applyFill="1" applyBorder="1" applyAlignment="1" applyProtection="1">
      <alignment horizontal="left" vertical="center" wrapText="1"/>
    </xf>
    <xf numFmtId="0" fontId="17" fillId="6" borderId="88" xfId="0" applyFont="1" applyFill="1" applyBorder="1" applyAlignment="1" applyProtection="1">
      <alignment horizontal="left" vertical="center" wrapText="1"/>
    </xf>
    <xf numFmtId="0" fontId="16" fillId="6" borderId="69" xfId="0" applyFont="1" applyFill="1" applyBorder="1" applyAlignment="1" applyProtection="1">
      <alignment horizontal="left" vertical="center" wrapText="1"/>
    </xf>
    <xf numFmtId="0" fontId="16" fillId="6" borderId="82" xfId="0" applyFont="1" applyFill="1" applyBorder="1" applyAlignment="1" applyProtection="1">
      <alignment horizontal="left" vertical="center" wrapText="1"/>
    </xf>
    <xf numFmtId="0" fontId="6" fillId="0" borderId="69" xfId="0" applyFont="1" applyBorder="1" applyAlignment="1" applyProtection="1">
      <alignment horizontal="center" vertical="center"/>
    </xf>
    <xf numFmtId="0" fontId="6" fillId="0" borderId="33" xfId="0" applyFont="1" applyBorder="1" applyAlignment="1" applyProtection="1">
      <alignment horizontal="center" vertical="center"/>
    </xf>
    <xf numFmtId="0" fontId="17" fillId="6" borderId="79" xfId="0" applyFont="1" applyFill="1" applyBorder="1" applyAlignment="1" applyProtection="1">
      <alignment horizontal="left" vertical="center" wrapText="1"/>
    </xf>
    <xf numFmtId="0" fontId="17" fillId="6" borderId="69" xfId="0" applyFont="1" applyFill="1" applyBorder="1" applyAlignment="1" applyProtection="1">
      <alignment horizontal="left" vertical="center" wrapText="1"/>
    </xf>
    <xf numFmtId="0" fontId="16" fillId="6" borderId="7" xfId="0" applyFont="1" applyFill="1" applyBorder="1" applyAlignment="1" applyProtection="1">
      <alignment horizontal="left" vertical="center" wrapText="1"/>
    </xf>
    <xf numFmtId="0" fontId="16" fillId="6" borderId="6" xfId="0" applyFont="1" applyFill="1" applyBorder="1" applyAlignment="1" applyProtection="1">
      <alignment horizontal="left" vertical="center" wrapText="1"/>
    </xf>
    <xf numFmtId="0" fontId="16" fillId="6" borderId="3" xfId="0" applyFont="1" applyFill="1" applyBorder="1" applyAlignment="1" applyProtection="1">
      <alignment horizontal="left" vertical="center" wrapText="1"/>
    </xf>
    <xf numFmtId="0" fontId="16" fillId="6" borderId="2" xfId="0" applyFont="1" applyFill="1" applyBorder="1" applyAlignment="1" applyProtection="1">
      <alignment horizontal="left" vertical="center" wrapText="1"/>
    </xf>
    <xf numFmtId="0" fontId="9" fillId="0" borderId="72" xfId="0" applyFont="1" applyBorder="1" applyAlignment="1" applyProtection="1">
      <alignment horizontal="center" vertical="center"/>
    </xf>
    <xf numFmtId="0" fontId="9" fillId="0" borderId="74" xfId="0" applyFont="1" applyBorder="1" applyAlignment="1" applyProtection="1">
      <alignment horizontal="center" vertical="center"/>
    </xf>
    <xf numFmtId="0" fontId="9" fillId="0" borderId="75" xfId="0" applyFont="1" applyBorder="1" applyAlignment="1" applyProtection="1">
      <alignment horizontal="center" vertical="center"/>
    </xf>
    <xf numFmtId="0" fontId="39" fillId="0" borderId="33" xfId="0" applyFont="1" applyFill="1" applyBorder="1" applyAlignment="1" applyProtection="1">
      <alignment horizontal="center" vertical="center"/>
    </xf>
    <xf numFmtId="0" fontId="39" fillId="0" borderId="42" xfId="0" applyFont="1" applyFill="1" applyBorder="1" applyAlignment="1" applyProtection="1">
      <alignment horizontal="center" vertical="center"/>
    </xf>
    <xf numFmtId="0" fontId="39" fillId="0" borderId="45" xfId="0" applyFont="1" applyFill="1" applyBorder="1" applyAlignment="1" applyProtection="1">
      <alignment horizontal="center" vertical="center"/>
    </xf>
    <xf numFmtId="0" fontId="39" fillId="0" borderId="69"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39" fillId="0" borderId="78"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25" fillId="6" borderId="7" xfId="0" applyFont="1" applyFill="1" applyBorder="1" applyAlignment="1" applyProtection="1">
      <alignment horizontal="left" vertical="center" wrapText="1"/>
    </xf>
    <xf numFmtId="0" fontId="25" fillId="6" borderId="6" xfId="0" applyFont="1" applyFill="1" applyBorder="1" applyAlignment="1" applyProtection="1">
      <alignment horizontal="left" vertical="center" wrapText="1"/>
    </xf>
    <xf numFmtId="0" fontId="25" fillId="6" borderId="3" xfId="0" applyFont="1" applyFill="1" applyBorder="1" applyAlignment="1" applyProtection="1">
      <alignment horizontal="left" vertical="center" wrapText="1"/>
    </xf>
    <xf numFmtId="0" fontId="25" fillId="6" borderId="2" xfId="0" applyFont="1" applyFill="1" applyBorder="1" applyAlignment="1" applyProtection="1">
      <alignment horizontal="left" vertical="center" wrapText="1"/>
    </xf>
    <xf numFmtId="0" fontId="6" fillId="7" borderId="3" xfId="0" applyFont="1" applyFill="1" applyBorder="1" applyAlignment="1" applyProtection="1">
      <alignment horizontal="left" vertical="center" wrapText="1"/>
      <protection locked="0"/>
    </xf>
    <xf numFmtId="0" fontId="6" fillId="7" borderId="2" xfId="0" applyFont="1" applyFill="1" applyBorder="1" applyAlignment="1" applyProtection="1">
      <alignment horizontal="left" vertical="center" wrapText="1"/>
      <protection locked="0"/>
    </xf>
    <xf numFmtId="0" fontId="6" fillId="6" borderId="74" xfId="0" applyFont="1" applyFill="1" applyBorder="1" applyAlignment="1" applyProtection="1">
      <alignment horizontal="left" vertical="center" wrapText="1"/>
    </xf>
    <xf numFmtId="0" fontId="6" fillId="6" borderId="75" xfId="0" applyFont="1" applyFill="1" applyBorder="1" applyAlignment="1" applyProtection="1">
      <alignment horizontal="left" vertical="center" wrapText="1"/>
    </xf>
    <xf numFmtId="0" fontId="17" fillId="6" borderId="89" xfId="0" applyFont="1" applyFill="1" applyBorder="1" applyAlignment="1" applyProtection="1">
      <alignment horizontal="left" vertical="center" wrapText="1"/>
    </xf>
    <xf numFmtId="0" fontId="11" fillId="6" borderId="41"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53" xfId="0" applyFont="1" applyFill="1" applyBorder="1" applyAlignment="1">
      <alignment horizontal="center" vertical="center"/>
    </xf>
    <xf numFmtId="0" fontId="6" fillId="6" borderId="72" xfId="0" applyFont="1" applyFill="1" applyBorder="1" applyAlignment="1" applyProtection="1">
      <alignment horizontal="left" vertical="center"/>
    </xf>
    <xf numFmtId="0" fontId="6" fillId="6" borderId="74" xfId="0" applyFont="1" applyFill="1" applyBorder="1" applyAlignment="1" applyProtection="1">
      <alignment horizontal="left" vertical="center"/>
    </xf>
    <xf numFmtId="0" fontId="6" fillId="6" borderId="75" xfId="0" applyFont="1" applyFill="1" applyBorder="1" applyAlignment="1" applyProtection="1">
      <alignment horizontal="left" vertical="center"/>
    </xf>
    <xf numFmtId="0" fontId="6" fillId="0" borderId="72" xfId="0" applyFont="1" applyBorder="1" applyAlignment="1" applyProtection="1">
      <alignment horizontal="left" vertical="center" wrapText="1"/>
    </xf>
    <xf numFmtId="0" fontId="6" fillId="0" borderId="74" xfId="0" applyFont="1" applyBorder="1" applyAlignment="1" applyProtection="1">
      <alignment horizontal="left" vertical="center" wrapText="1"/>
    </xf>
    <xf numFmtId="0" fontId="6" fillId="0" borderId="75" xfId="0" applyFont="1" applyBorder="1" applyAlignment="1" applyProtection="1">
      <alignment horizontal="left" vertical="center" wrapText="1"/>
    </xf>
    <xf numFmtId="0" fontId="16" fillId="6" borderId="7" xfId="0" applyFont="1" applyFill="1" applyBorder="1" applyAlignment="1" applyProtection="1">
      <alignment horizontal="left" vertical="center"/>
    </xf>
    <xf numFmtId="0" fontId="16" fillId="6" borderId="6" xfId="0" applyFont="1" applyFill="1" applyBorder="1" applyAlignment="1" applyProtection="1">
      <alignment horizontal="left" vertical="center"/>
    </xf>
    <xf numFmtId="0" fontId="6" fillId="6" borderId="79" xfId="0" applyFont="1" applyFill="1" applyBorder="1" applyAlignment="1" applyProtection="1">
      <alignment horizontal="center" vertical="center" wrapText="1"/>
    </xf>
    <xf numFmtId="0" fontId="6" fillId="6" borderId="80" xfId="0" applyFont="1" applyFill="1" applyBorder="1" applyAlignment="1" applyProtection="1">
      <alignment horizontal="center" vertical="center" wrapText="1"/>
    </xf>
    <xf numFmtId="0" fontId="6" fillId="6" borderId="81"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7" fillId="7" borderId="88" xfId="0" applyFont="1" applyFill="1" applyBorder="1" applyAlignment="1" applyProtection="1">
      <alignment horizontal="center" vertical="center" wrapText="1"/>
      <protection locked="0"/>
    </xf>
    <xf numFmtId="0" fontId="17" fillId="7" borderId="74" xfId="0" applyFont="1" applyFill="1" applyBorder="1" applyAlignment="1" applyProtection="1">
      <alignment horizontal="center" vertical="center" wrapText="1"/>
      <protection locked="0"/>
    </xf>
    <xf numFmtId="0" fontId="17" fillId="7" borderId="75"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left" vertical="center" wrapText="1"/>
    </xf>
    <xf numFmtId="0" fontId="17" fillId="6" borderId="2" xfId="0" applyFont="1" applyFill="1" applyBorder="1" applyAlignment="1" applyProtection="1">
      <alignment horizontal="left" vertical="center" wrapText="1"/>
    </xf>
    <xf numFmtId="0" fontId="17" fillId="6" borderId="7" xfId="0" applyFont="1" applyFill="1" applyBorder="1" applyAlignment="1" applyProtection="1">
      <alignment horizontal="left" vertical="center"/>
    </xf>
    <xf numFmtId="0" fontId="17" fillId="6" borderId="6" xfId="0" applyFont="1" applyFill="1" applyBorder="1" applyAlignment="1" applyProtection="1">
      <alignment horizontal="left" vertical="center"/>
    </xf>
    <xf numFmtId="0" fontId="6" fillId="6" borderId="72" xfId="0" applyFont="1" applyFill="1" applyBorder="1" applyAlignment="1" applyProtection="1">
      <alignment horizontal="center" vertical="center" wrapText="1"/>
    </xf>
    <xf numFmtId="0" fontId="6" fillId="6" borderId="74" xfId="0" applyFont="1" applyFill="1" applyBorder="1" applyAlignment="1" applyProtection="1">
      <alignment horizontal="center" vertical="center" wrapText="1"/>
    </xf>
    <xf numFmtId="0" fontId="6" fillId="6" borderId="75" xfId="0" applyFont="1" applyFill="1" applyBorder="1" applyAlignment="1" applyProtection="1">
      <alignment horizontal="center" vertical="center" wrapText="1"/>
    </xf>
    <xf numFmtId="0" fontId="15" fillId="6" borderId="22" xfId="0" applyFont="1" applyFill="1" applyBorder="1" applyAlignment="1" applyProtection="1">
      <alignment horizontal="left" vertical="center" wrapText="1"/>
    </xf>
    <xf numFmtId="0" fontId="15" fillId="6" borderId="38" xfId="0" applyFont="1" applyFill="1" applyBorder="1" applyAlignment="1" applyProtection="1">
      <alignment horizontal="left" vertical="center" wrapText="1"/>
    </xf>
    <xf numFmtId="0" fontId="15" fillId="6" borderId="7" xfId="0" applyFont="1" applyFill="1" applyBorder="1" applyAlignment="1" applyProtection="1">
      <alignment horizontal="left" vertical="center"/>
    </xf>
    <xf numFmtId="0" fontId="15" fillId="6" borderId="6"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6" borderId="3" xfId="0" applyFont="1" applyFill="1" applyBorder="1" applyAlignment="1" applyProtection="1">
      <alignment horizontal="left" vertical="center"/>
    </xf>
    <xf numFmtId="0" fontId="15" fillId="6" borderId="2" xfId="0" applyFont="1" applyFill="1" applyBorder="1" applyAlignment="1" applyProtection="1">
      <alignment horizontal="left" vertical="center"/>
    </xf>
    <xf numFmtId="0" fontId="15" fillId="0" borderId="7"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9" fillId="6" borderId="79" xfId="0" applyFont="1" applyFill="1" applyBorder="1" applyAlignment="1" applyProtection="1">
      <alignment horizontal="left" vertical="center"/>
    </xf>
    <xf numFmtId="0" fontId="9" fillId="6" borderId="80" xfId="0" applyFont="1" applyFill="1" applyBorder="1" applyAlignment="1" applyProtection="1">
      <alignment horizontal="lef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6" fillId="0" borderId="28" xfId="0" applyFont="1" applyBorder="1" applyAlignment="1" applyProtection="1">
      <alignment horizontal="left" vertical="center" wrapText="1"/>
    </xf>
    <xf numFmtId="0" fontId="6" fillId="0" borderId="50" xfId="0" applyFont="1" applyBorder="1" applyAlignment="1" applyProtection="1">
      <alignment horizontal="left" vertical="center" wrapText="1"/>
    </xf>
    <xf numFmtId="0" fontId="15" fillId="6" borderId="2" xfId="0" applyFont="1" applyFill="1" applyBorder="1" applyAlignment="1" applyProtection="1">
      <alignment horizontal="center" vertical="center"/>
    </xf>
    <xf numFmtId="0" fontId="15" fillId="6" borderId="1" xfId="0" applyFont="1" applyFill="1" applyBorder="1" applyAlignment="1" applyProtection="1">
      <alignment horizontal="center" vertical="center"/>
    </xf>
    <xf numFmtId="0" fontId="6" fillId="6" borderId="3" xfId="0" applyFont="1" applyFill="1" applyBorder="1" applyAlignment="1" applyProtection="1">
      <alignment horizontal="left" vertical="center" wrapText="1"/>
    </xf>
    <xf numFmtId="0" fontId="6" fillId="6" borderId="2" xfId="0" applyFont="1" applyFill="1" applyBorder="1" applyAlignment="1" applyProtection="1">
      <alignment horizontal="left" vertical="center" wrapText="1"/>
    </xf>
    <xf numFmtId="0" fontId="15" fillId="6" borderId="79" xfId="0" applyFont="1" applyFill="1" applyBorder="1" applyAlignment="1" applyProtection="1">
      <alignment horizontal="center" vertical="center"/>
    </xf>
    <xf numFmtId="0" fontId="15" fillId="6" borderId="69" xfId="0" applyFont="1" applyFill="1" applyBorder="1" applyAlignment="1" applyProtection="1">
      <alignment horizontal="center" vertical="center"/>
    </xf>
    <xf numFmtId="0" fontId="17" fillId="6" borderId="70" xfId="0" applyFont="1" applyFill="1" applyBorder="1" applyAlignment="1" applyProtection="1">
      <alignment horizontal="left" vertical="center"/>
    </xf>
    <xf numFmtId="0" fontId="17" fillId="6" borderId="83" xfId="0" applyFont="1" applyFill="1" applyBorder="1" applyAlignment="1" applyProtection="1">
      <alignment horizontal="left" vertical="center"/>
    </xf>
    <xf numFmtId="0" fontId="15" fillId="0" borderId="22" xfId="0" applyFont="1" applyBorder="1" applyAlignment="1" applyProtection="1">
      <alignment horizontal="left" vertical="center"/>
    </xf>
    <xf numFmtId="0" fontId="15" fillId="0" borderId="21" xfId="0" applyFont="1" applyBorder="1" applyAlignment="1" applyProtection="1">
      <alignment horizontal="left" vertical="center"/>
    </xf>
    <xf numFmtId="0" fontId="15" fillId="0" borderId="38" xfId="0" applyFont="1" applyBorder="1" applyAlignment="1" applyProtection="1">
      <alignment horizontal="left" vertical="center"/>
    </xf>
    <xf numFmtId="0" fontId="9" fillId="0" borderId="7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39" fillId="0" borderId="80" xfId="0" applyFont="1" applyBorder="1" applyAlignment="1">
      <alignment horizontal="center" vertical="center"/>
    </xf>
    <xf numFmtId="0" fontId="39" fillId="0" borderId="81"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6" fillId="6" borderId="76" xfId="0" applyFont="1" applyFill="1" applyBorder="1" applyAlignment="1" applyProtection="1">
      <alignment horizontal="left" vertical="center" wrapText="1"/>
    </xf>
    <xf numFmtId="0" fontId="6" fillId="6" borderId="77" xfId="0" applyFont="1" applyFill="1" applyBorder="1" applyAlignment="1" applyProtection="1">
      <alignment horizontal="left" vertical="center" wrapText="1"/>
    </xf>
    <xf numFmtId="0" fontId="6" fillId="6" borderId="78" xfId="0" applyFont="1" applyFill="1" applyBorder="1" applyAlignment="1" applyProtection="1">
      <alignment horizontal="left" vertical="center" wrapText="1"/>
    </xf>
    <xf numFmtId="0" fontId="52" fillId="6" borderId="0" xfId="0" applyFont="1" applyFill="1" applyBorder="1" applyAlignment="1" applyProtection="1">
      <alignment horizontal="left"/>
    </xf>
    <xf numFmtId="0" fontId="6" fillId="6" borderId="0" xfId="0" applyFont="1" applyFill="1" applyBorder="1" applyAlignment="1">
      <alignment horizontal="center" vertical="center"/>
    </xf>
    <xf numFmtId="0" fontId="6" fillId="0" borderId="79" xfId="0" applyFont="1" applyBorder="1" applyAlignment="1">
      <alignment horizontal="center" vertical="center"/>
    </xf>
    <xf numFmtId="0" fontId="6" fillId="0" borderId="69" xfId="0"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center" vertical="center"/>
    </xf>
    <xf numFmtId="0" fontId="6" fillId="6" borderId="70" xfId="0" applyFont="1" applyFill="1" applyBorder="1" applyAlignment="1" applyProtection="1">
      <alignment horizontal="left" vertical="center" wrapText="1"/>
    </xf>
    <xf numFmtId="0" fontId="6" fillId="6" borderId="83" xfId="0" applyFont="1" applyFill="1" applyBorder="1" applyAlignment="1" applyProtection="1">
      <alignment horizontal="left" vertical="center" wrapText="1"/>
    </xf>
    <xf numFmtId="0" fontId="6" fillId="6" borderId="43"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56" xfId="0" applyFont="1" applyFill="1" applyBorder="1" applyAlignment="1" applyProtection="1">
      <alignment horizontal="left" vertical="center" wrapText="1"/>
    </xf>
    <xf numFmtId="0" fontId="6" fillId="7" borderId="28" xfId="0" applyFont="1" applyFill="1" applyBorder="1" applyAlignment="1" applyProtection="1">
      <alignment horizontal="left" vertical="center"/>
      <protection locked="0"/>
    </xf>
    <xf numFmtId="0" fontId="6" fillId="7" borderId="42" xfId="0" applyFont="1" applyFill="1" applyBorder="1" applyAlignment="1" applyProtection="1">
      <alignment horizontal="left" vertical="center"/>
      <protection locked="0"/>
    </xf>
    <xf numFmtId="0" fontId="6" fillId="7" borderId="50" xfId="0" applyFont="1" applyFill="1" applyBorder="1" applyAlignment="1" applyProtection="1">
      <alignment horizontal="left" vertical="center"/>
      <protection locked="0"/>
    </xf>
    <xf numFmtId="0" fontId="6" fillId="6" borderId="31" xfId="0" applyFont="1" applyFill="1" applyBorder="1" applyAlignment="1" applyProtection="1">
      <alignment horizontal="left" vertical="center" wrapText="1"/>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17" fillId="0" borderId="80" xfId="0" applyFont="1" applyBorder="1" applyAlignment="1" applyProtection="1">
      <alignment horizontal="center" vertical="center"/>
    </xf>
    <xf numFmtId="0" fontId="17" fillId="0" borderId="6" xfId="0" applyFont="1" applyBorder="1" applyAlignment="1" applyProtection="1">
      <alignment horizontal="center" vertical="center"/>
    </xf>
    <xf numFmtId="0" fontId="49" fillId="6" borderId="6" xfId="0" applyFont="1" applyFill="1" applyBorder="1" applyAlignment="1" applyProtection="1">
      <alignment horizontal="center" vertical="center" wrapText="1"/>
    </xf>
    <xf numFmtId="0" fontId="25" fillId="6" borderId="73" xfId="0" applyFont="1" applyFill="1" applyBorder="1" applyAlignment="1" applyProtection="1">
      <alignment vertical="center" wrapText="1"/>
    </xf>
    <xf numFmtId="0" fontId="25" fillId="6" borderId="8" xfId="0" applyFont="1" applyFill="1" applyBorder="1" applyAlignment="1" applyProtection="1">
      <alignment vertical="center" wrapText="1"/>
    </xf>
    <xf numFmtId="0" fontId="25" fillId="6" borderId="86" xfId="0" applyFont="1" applyFill="1" applyBorder="1" applyAlignment="1" applyProtection="1">
      <alignment vertical="center" wrapText="1"/>
    </xf>
    <xf numFmtId="0" fontId="25" fillId="6" borderId="83" xfId="0" applyFont="1" applyFill="1" applyBorder="1" applyAlignment="1" applyProtection="1">
      <alignment horizontal="left" vertical="center"/>
    </xf>
    <xf numFmtId="0" fontId="25" fillId="6" borderId="6" xfId="0" applyFont="1" applyFill="1" applyBorder="1" applyAlignment="1" applyProtection="1">
      <alignment horizontal="center" vertical="center" wrapText="1"/>
    </xf>
    <xf numFmtId="0" fontId="25" fillId="6" borderId="38" xfId="0" applyFont="1" applyFill="1" applyBorder="1" applyAlignment="1" applyProtection="1">
      <alignment horizontal="center" vertical="center" wrapText="1"/>
    </xf>
    <xf numFmtId="0" fontId="40" fillId="6" borderId="70" xfId="0" applyFont="1" applyFill="1" applyBorder="1" applyAlignment="1" applyProtection="1">
      <alignment horizontal="center" vertical="center" wrapText="1"/>
    </xf>
    <xf numFmtId="0" fontId="40" fillId="6" borderId="83" xfId="0" applyFont="1" applyFill="1" applyBorder="1" applyAlignment="1" applyProtection="1">
      <alignment horizontal="center" vertical="center" wrapText="1"/>
    </xf>
    <xf numFmtId="0" fontId="40" fillId="6" borderId="43" xfId="0" applyFont="1" applyFill="1" applyBorder="1" applyAlignment="1" applyProtection="1">
      <alignment horizontal="center" vertical="center" wrapText="1"/>
    </xf>
    <xf numFmtId="0" fontId="40" fillId="6" borderId="36" xfId="0" applyFont="1" applyFill="1" applyBorder="1" applyAlignment="1" applyProtection="1">
      <alignment horizontal="center" vertical="center" wrapText="1"/>
    </xf>
    <xf numFmtId="0" fontId="40" fillId="6" borderId="64" xfId="0" applyFont="1" applyFill="1" applyBorder="1" applyAlignment="1" applyProtection="1">
      <alignment horizontal="center" vertical="center" wrapText="1"/>
    </xf>
    <xf numFmtId="0" fontId="40" fillId="6" borderId="56" xfId="0" applyFont="1" applyFill="1" applyBorder="1" applyAlignment="1" applyProtection="1">
      <alignment horizontal="center" vertical="center" wrapText="1"/>
    </xf>
    <xf numFmtId="0" fontId="49" fillId="6" borderId="5" xfId="0" applyFont="1" applyFill="1" applyBorder="1" applyAlignment="1" applyProtection="1">
      <alignment horizontal="center" vertical="center" wrapText="1"/>
    </xf>
    <xf numFmtId="0" fontId="25" fillId="6" borderId="5" xfId="0" applyFont="1" applyFill="1" applyBorder="1" applyAlignment="1" applyProtection="1">
      <alignment horizontal="center" vertical="center" wrapText="1"/>
    </xf>
    <xf numFmtId="0" fontId="17" fillId="6" borderId="79" xfId="0" applyFont="1" applyFill="1" applyBorder="1" applyAlignment="1" applyProtection="1">
      <alignment vertical="center" wrapText="1"/>
    </xf>
    <xf numFmtId="0" fontId="17" fillId="6" borderId="7" xfId="0" applyFont="1" applyFill="1" applyBorder="1" applyAlignment="1" applyProtection="1">
      <alignment vertical="center" wrapText="1"/>
    </xf>
    <xf numFmtId="0" fontId="17" fillId="6" borderId="3" xfId="0" applyFont="1" applyFill="1" applyBorder="1" applyAlignment="1" applyProtection="1">
      <alignment vertical="center" wrapText="1"/>
    </xf>
    <xf numFmtId="0" fontId="17" fillId="6" borderId="68" xfId="0" applyFont="1" applyFill="1" applyBorder="1" applyAlignment="1" applyProtection="1">
      <alignment horizontal="center" vertical="center" wrapText="1"/>
    </xf>
    <xf numFmtId="0" fontId="17" fillId="6" borderId="83" xfId="0" applyFont="1" applyFill="1" applyBorder="1" applyAlignment="1" applyProtection="1">
      <alignment horizontal="center" vertical="center" wrapText="1"/>
    </xf>
    <xf numFmtId="0" fontId="17" fillId="6" borderId="71" xfId="0" applyFont="1" applyFill="1" applyBorder="1" applyAlignment="1" applyProtection="1">
      <alignment horizontal="center" vertical="center" wrapText="1"/>
    </xf>
    <xf numFmtId="0" fontId="17" fillId="6" borderId="41"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7" fillId="6" borderId="18" xfId="0" applyFont="1" applyFill="1" applyBorder="1" applyAlignment="1" applyProtection="1">
      <alignment horizontal="center" vertical="center" wrapText="1"/>
    </xf>
    <xf numFmtId="0" fontId="17" fillId="6" borderId="54" xfId="0" applyFont="1" applyFill="1" applyBorder="1" applyAlignment="1" applyProtection="1">
      <alignment horizontal="center" vertical="center" wrapText="1"/>
    </xf>
    <xf numFmtId="0" fontId="17" fillId="6" borderId="31" xfId="0" applyFont="1" applyFill="1" applyBorder="1" applyAlignment="1" applyProtection="1">
      <alignment horizontal="center" vertical="center" wrapText="1"/>
    </xf>
    <xf numFmtId="0" fontId="17" fillId="6" borderId="52" xfId="0" applyFont="1" applyFill="1" applyBorder="1" applyAlignment="1" applyProtection="1">
      <alignment horizontal="center" vertical="center" wrapText="1"/>
    </xf>
    <xf numFmtId="0" fontId="17" fillId="6" borderId="31" xfId="0" applyFont="1" applyFill="1" applyBorder="1" applyAlignment="1" applyProtection="1">
      <alignment horizontal="left" vertical="center" wrapText="1"/>
    </xf>
    <xf numFmtId="0" fontId="25" fillId="6" borderId="27" xfId="0" applyFont="1" applyFill="1" applyBorder="1" applyAlignment="1" applyProtection="1">
      <alignment horizontal="left" vertical="center" wrapText="1"/>
    </xf>
    <xf numFmtId="0" fontId="25" fillId="6" borderId="21" xfId="0" applyFont="1" applyFill="1" applyBorder="1" applyAlignment="1" applyProtection="1">
      <alignment horizontal="left" vertical="center" wrapText="1"/>
    </xf>
    <xf numFmtId="0" fontId="25" fillId="6" borderId="23" xfId="0" applyFont="1" applyFill="1" applyBorder="1" applyAlignment="1" applyProtection="1">
      <alignment horizontal="left" vertical="center" wrapText="1"/>
    </xf>
    <xf numFmtId="0" fontId="25" fillId="6" borderId="33" xfId="0" applyFont="1" applyFill="1" applyBorder="1" applyAlignment="1" applyProtection="1">
      <alignment horizontal="left" vertical="center" wrapText="1"/>
    </xf>
    <xf numFmtId="0" fontId="25" fillId="6" borderId="42" xfId="0" applyFont="1" applyFill="1" applyBorder="1" applyAlignment="1" applyProtection="1">
      <alignment horizontal="left" vertical="center" wrapText="1"/>
    </xf>
    <xf numFmtId="0" fontId="25" fillId="6" borderId="45" xfId="0" applyFont="1" applyFill="1" applyBorder="1" applyAlignment="1" applyProtection="1">
      <alignment horizontal="left" vertical="center" wrapText="1"/>
    </xf>
    <xf numFmtId="0" fontId="29" fillId="6" borderId="83" xfId="0" applyFont="1" applyFill="1" applyBorder="1" applyAlignment="1" applyProtection="1">
      <alignment horizontal="left" vertical="center"/>
    </xf>
    <xf numFmtId="0" fontId="17" fillId="6" borderId="80"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25" fillId="6" borderId="69" xfId="0" applyFont="1" applyFill="1" applyBorder="1" applyAlignment="1" applyProtection="1">
      <alignment horizontal="left" vertical="center" wrapText="1"/>
    </xf>
    <xf numFmtId="0" fontId="25" fillId="6" borderId="77" xfId="0" applyFont="1" applyFill="1" applyBorder="1" applyAlignment="1" applyProtection="1">
      <alignment horizontal="left" vertical="center" wrapText="1"/>
    </xf>
    <xf numFmtId="0" fontId="25" fillId="6" borderId="78" xfId="0" applyFont="1" applyFill="1" applyBorder="1" applyAlignment="1" applyProtection="1">
      <alignment horizontal="left" vertical="center" wrapText="1"/>
    </xf>
    <xf numFmtId="0" fontId="40" fillId="6" borderId="2" xfId="0" applyFont="1" applyFill="1" applyBorder="1" applyAlignment="1" applyProtection="1">
      <alignment horizontal="center" vertical="center" wrapText="1"/>
    </xf>
    <xf numFmtId="0" fontId="17" fillId="6" borderId="60" xfId="0" applyFont="1" applyFill="1" applyBorder="1" applyAlignment="1" applyProtection="1">
      <alignment horizontal="center" vertical="center" wrapText="1"/>
    </xf>
    <xf numFmtId="0" fontId="17" fillId="6" borderId="65" xfId="0" applyFont="1" applyFill="1" applyBorder="1" applyAlignment="1" applyProtection="1">
      <alignment horizontal="center" vertical="center" wrapText="1"/>
    </xf>
    <xf numFmtId="0" fontId="17" fillId="6" borderId="66" xfId="0" applyFont="1" applyFill="1" applyBorder="1" applyAlignment="1" applyProtection="1">
      <alignment horizontal="center" vertical="center" wrapText="1"/>
    </xf>
    <xf numFmtId="0" fontId="17" fillId="6" borderId="26" xfId="0" applyFont="1" applyFill="1" applyBorder="1" applyAlignment="1" applyProtection="1">
      <alignment horizontal="center" vertical="center" wrapText="1"/>
    </xf>
    <xf numFmtId="0" fontId="17" fillId="6" borderId="29" xfId="0" applyFont="1" applyFill="1" applyBorder="1" applyAlignment="1" applyProtection="1">
      <alignment horizontal="center" vertical="center" wrapText="1"/>
    </xf>
    <xf numFmtId="0" fontId="17" fillId="6" borderId="30"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xf>
    <xf numFmtId="0" fontId="17" fillId="6" borderId="45" xfId="0" applyFont="1" applyFill="1" applyBorder="1" applyAlignment="1" applyProtection="1">
      <alignment horizontal="center" vertical="center"/>
    </xf>
    <xf numFmtId="0" fontId="40" fillId="6" borderId="3" xfId="0" applyFont="1" applyFill="1" applyBorder="1" applyAlignment="1" applyProtection="1">
      <alignment horizontal="center" vertical="center" wrapText="1"/>
    </xf>
    <xf numFmtId="0" fontId="63" fillId="6" borderId="72" xfId="0" applyFont="1" applyFill="1" applyBorder="1" applyAlignment="1" applyProtection="1">
      <alignment horizontal="center" vertical="center"/>
    </xf>
    <xf numFmtId="0" fontId="52" fillId="6" borderId="74" xfId="0" applyFont="1" applyFill="1" applyBorder="1" applyAlignment="1" applyProtection="1">
      <alignment horizontal="center" vertical="center"/>
    </xf>
    <xf numFmtId="0" fontId="52" fillId="6" borderId="75" xfId="0" applyFont="1" applyFill="1" applyBorder="1" applyAlignment="1" applyProtection="1">
      <alignment horizontal="center" vertical="center"/>
    </xf>
    <xf numFmtId="0" fontId="15" fillId="6" borderId="26" xfId="0" applyFont="1" applyFill="1" applyBorder="1" applyAlignment="1" applyProtection="1">
      <alignment horizontal="center" vertical="center"/>
    </xf>
    <xf numFmtId="0" fontId="15" fillId="6" borderId="37" xfId="0" applyFont="1" applyFill="1" applyBorder="1" applyAlignment="1" applyProtection="1">
      <alignment horizontal="center" vertical="center"/>
    </xf>
    <xf numFmtId="0" fontId="16" fillId="0" borderId="27"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17" fillId="7" borderId="88" xfId="0" applyFont="1" applyFill="1" applyBorder="1" applyAlignment="1" applyProtection="1">
      <alignment horizontal="left" vertical="center" wrapText="1"/>
      <protection locked="0"/>
    </xf>
    <xf numFmtId="0" fontId="17" fillId="7" borderId="74" xfId="0" applyFont="1" applyFill="1" applyBorder="1" applyAlignment="1" applyProtection="1">
      <alignment horizontal="left" vertical="center" wrapText="1"/>
      <protection locked="0"/>
    </xf>
    <xf numFmtId="0" fontId="17" fillId="7" borderId="75" xfId="0" applyFont="1" applyFill="1" applyBorder="1" applyAlignment="1" applyProtection="1">
      <alignment horizontal="left" vertical="center" wrapText="1"/>
      <protection locked="0"/>
    </xf>
    <xf numFmtId="0" fontId="57" fillId="6" borderId="73" xfId="0" applyFont="1" applyFill="1" applyBorder="1" applyAlignment="1" applyProtection="1">
      <alignment vertical="center" wrapText="1"/>
    </xf>
    <xf numFmtId="0" fontId="57" fillId="6" borderId="8" xfId="0" applyFont="1" applyFill="1" applyBorder="1" applyAlignment="1" applyProtection="1">
      <alignment vertical="center" wrapText="1"/>
    </xf>
    <xf numFmtId="0" fontId="57" fillId="6" borderId="86" xfId="0" applyFont="1" applyFill="1" applyBorder="1" applyAlignment="1" applyProtection="1">
      <alignment vertical="center" wrapText="1"/>
    </xf>
    <xf numFmtId="0" fontId="5" fillId="6" borderId="83" xfId="0" applyFont="1" applyFill="1" applyBorder="1" applyAlignment="1" applyProtection="1">
      <alignment horizontal="center" vertical="center" wrapText="1"/>
    </xf>
    <xf numFmtId="0" fontId="5" fillId="6" borderId="64" xfId="0" applyFont="1" applyFill="1" applyBorder="1" applyAlignment="1" applyProtection="1">
      <alignment horizontal="center" vertical="center" wrapText="1"/>
    </xf>
    <xf numFmtId="0" fontId="5" fillId="6" borderId="36" xfId="0" applyFont="1" applyFill="1" applyBorder="1" applyAlignment="1" applyProtection="1">
      <alignment horizontal="center" vertical="center" wrapText="1"/>
    </xf>
    <xf numFmtId="0" fontId="5" fillId="6" borderId="56"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57" fillId="6" borderId="38" xfId="0" applyFont="1" applyFill="1" applyBorder="1" applyAlignment="1" applyProtection="1">
      <alignment horizontal="center" vertical="center" wrapText="1"/>
    </xf>
    <xf numFmtId="0" fontId="57" fillId="6" borderId="6" xfId="0" applyFont="1" applyFill="1" applyBorder="1" applyAlignment="1" applyProtection="1">
      <alignment horizontal="center" vertical="center" wrapText="1"/>
    </xf>
    <xf numFmtId="0" fontId="57" fillId="6" borderId="5" xfId="0" applyFont="1" applyFill="1" applyBorder="1" applyAlignment="1" applyProtection="1">
      <alignment horizontal="center" vertical="center" wrapText="1"/>
    </xf>
    <xf numFmtId="0" fontId="5" fillId="6" borderId="70"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wrapText="1"/>
    </xf>
    <xf numFmtId="0" fontId="25" fillId="6" borderId="37" xfId="0" applyFont="1" applyFill="1" applyBorder="1" applyAlignment="1" applyProtection="1">
      <alignment horizontal="left" vertical="center" wrapText="1"/>
    </xf>
    <xf numFmtId="0" fontId="25" fillId="6" borderId="36" xfId="0" applyFont="1" applyFill="1" applyBorder="1" applyAlignment="1" applyProtection="1">
      <alignment horizontal="left" vertical="center" wrapText="1"/>
    </xf>
    <xf numFmtId="0" fontId="25" fillId="6" borderId="49"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50" xfId="0" applyFont="1" applyFill="1" applyBorder="1" applyAlignment="1" applyProtection="1">
      <alignment horizontal="left" vertical="center" wrapText="1"/>
    </xf>
    <xf numFmtId="0" fontId="17" fillId="7" borderId="88" xfId="0" applyFont="1" applyFill="1" applyBorder="1" applyAlignment="1" applyProtection="1">
      <alignment horizontal="left" vertical="center" wrapText="1"/>
    </xf>
    <xf numFmtId="0" fontId="17" fillId="7" borderId="74" xfId="0" applyFont="1" applyFill="1" applyBorder="1" applyAlignment="1" applyProtection="1">
      <alignment horizontal="left" vertical="center" wrapText="1"/>
    </xf>
    <xf numFmtId="0" fontId="17" fillId="7" borderId="75" xfId="0" applyFont="1" applyFill="1" applyBorder="1" applyAlignment="1" applyProtection="1">
      <alignment horizontal="left" vertical="center" wrapText="1"/>
    </xf>
    <xf numFmtId="0" fontId="15" fillId="6" borderId="22" xfId="0" applyFont="1" applyFill="1" applyBorder="1" applyAlignment="1" applyProtection="1">
      <alignment horizontal="left" vertical="center"/>
    </xf>
    <xf numFmtId="0" fontId="15" fillId="6" borderId="21" xfId="0" applyFont="1" applyFill="1" applyBorder="1" applyAlignment="1" applyProtection="1">
      <alignment horizontal="left" vertical="center"/>
    </xf>
    <xf numFmtId="0" fontId="15" fillId="6" borderId="38" xfId="0" applyFont="1" applyFill="1" applyBorder="1" applyAlignment="1" applyProtection="1">
      <alignment horizontal="left" vertical="center"/>
    </xf>
    <xf numFmtId="0" fontId="17" fillId="6" borderId="6" xfId="0" applyFont="1" applyFill="1" applyBorder="1" applyAlignment="1">
      <alignment horizontal="left" vertical="center"/>
    </xf>
    <xf numFmtId="0" fontId="57" fillId="6" borderId="6" xfId="0" applyFont="1" applyFill="1" applyBorder="1" applyAlignment="1">
      <alignment horizontal="left" vertical="center"/>
    </xf>
    <xf numFmtId="0" fontId="17" fillId="6" borderId="69" xfId="0" applyFont="1" applyFill="1" applyBorder="1" applyAlignment="1">
      <alignment horizontal="center" vertical="center"/>
    </xf>
    <xf numFmtId="0" fontId="17" fillId="6" borderId="82" xfId="0" applyFont="1" applyFill="1" applyBorder="1" applyAlignment="1">
      <alignment horizontal="center" vertical="center"/>
    </xf>
    <xf numFmtId="0" fontId="17" fillId="0" borderId="65" xfId="0" applyFont="1" applyBorder="1" applyAlignment="1">
      <alignment horizontal="center" vertical="center"/>
    </xf>
    <xf numFmtId="0" fontId="17" fillId="0" borderId="51" xfId="0" applyFont="1" applyBorder="1" applyAlignment="1">
      <alignment horizontal="center" vertical="center"/>
    </xf>
    <xf numFmtId="0" fontId="63" fillId="0" borderId="70" xfId="0" applyFont="1" applyBorder="1" applyAlignment="1">
      <alignment horizontal="left" vertical="center" wrapText="1"/>
    </xf>
    <xf numFmtId="0" fontId="63" fillId="0" borderId="83" xfId="0" applyFont="1" applyBorder="1" applyAlignment="1">
      <alignment horizontal="left" vertical="center" wrapText="1"/>
    </xf>
    <xf numFmtId="0" fontId="63" fillId="0" borderId="64" xfId="0" applyFont="1" applyBorder="1" applyAlignment="1">
      <alignment horizontal="left" vertical="center" wrapText="1"/>
    </xf>
    <xf numFmtId="0" fontId="63" fillId="0" borderId="57" xfId="0" applyFont="1" applyBorder="1" applyAlignment="1">
      <alignment horizontal="left" vertical="center" wrapText="1"/>
    </xf>
    <xf numFmtId="0" fontId="63" fillId="0" borderId="31" xfId="0" applyFont="1" applyBorder="1" applyAlignment="1">
      <alignment horizontal="left" vertical="center" wrapText="1"/>
    </xf>
    <xf numFmtId="0" fontId="63" fillId="0" borderId="55" xfId="0" applyFont="1" applyBorder="1" applyAlignment="1">
      <alignment horizontal="left" vertical="center" wrapText="1"/>
    </xf>
    <xf numFmtId="0" fontId="63" fillId="0" borderId="72" xfId="0" applyFont="1" applyBorder="1" applyAlignment="1">
      <alignment horizontal="left" vertical="center"/>
    </xf>
    <xf numFmtId="0" fontId="63" fillId="0" borderId="74" xfId="0" applyFont="1" applyBorder="1" applyAlignment="1">
      <alignment horizontal="left" vertical="center"/>
    </xf>
    <xf numFmtId="0" fontId="63" fillId="0" borderId="89" xfId="0" applyFont="1" applyBorder="1" applyAlignment="1">
      <alignment horizontal="left" vertical="center"/>
    </xf>
    <xf numFmtId="49" fontId="37" fillId="0" borderId="69" xfId="0" applyNumberFormat="1" applyFont="1" applyBorder="1" applyAlignment="1">
      <alignment horizontal="center" vertical="center"/>
    </xf>
    <xf numFmtId="49" fontId="37" fillId="0" borderId="78" xfId="0" applyNumberFormat="1" applyFont="1" applyBorder="1" applyAlignment="1">
      <alignment horizontal="center" vertical="center"/>
    </xf>
    <xf numFmtId="49" fontId="37" fillId="0" borderId="2" xfId="0" applyNumberFormat="1" applyFont="1" applyBorder="1" applyAlignment="1">
      <alignment horizontal="center" vertical="center"/>
    </xf>
    <xf numFmtId="49" fontId="37" fillId="0" borderId="1"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32" xfId="0" applyFont="1" applyBorder="1" applyAlignment="1">
      <alignment horizontal="center" vertical="center"/>
    </xf>
    <xf numFmtId="0" fontId="16" fillId="0" borderId="7" xfId="0" applyFont="1" applyBorder="1" applyAlignment="1">
      <alignment horizontal="left" vertical="center"/>
    </xf>
    <xf numFmtId="0" fontId="16" fillId="0" borderId="34" xfId="0" applyFont="1" applyBorder="1" applyAlignment="1">
      <alignment horizontal="left" vertical="center"/>
    </xf>
    <xf numFmtId="0" fontId="16" fillId="0" borderId="7"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6" xfId="0"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2" fillId="0" borderId="24"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5" xfId="0" applyFont="1" applyBorder="1" applyAlignment="1">
      <alignment horizontal="center"/>
    </xf>
    <xf numFmtId="0" fontId="23" fillId="6" borderId="76" xfId="0" applyFont="1" applyFill="1" applyBorder="1" applyAlignment="1">
      <alignment horizontal="center" vertical="center" wrapText="1"/>
    </xf>
    <xf numFmtId="0" fontId="23" fillId="6" borderId="77"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6" borderId="23" xfId="0" applyFont="1" applyFill="1" applyBorder="1" applyAlignment="1">
      <alignment horizontal="center" vertical="center" wrapText="1"/>
    </xf>
  </cellXfs>
  <cellStyles count="33">
    <cellStyle name="40 % - uthevingsfarge 1" xfId="31" builtinId="31"/>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Benyttet hyperkobling" xfId="14" builtinId="9" hidden="1"/>
    <cellStyle name="Benyttet hyperkobling" xfId="16" builtinId="9" hidden="1"/>
    <cellStyle name="Benyttet hyperkobling" xfId="18" builtinId="9" hidden="1"/>
    <cellStyle name="Benyttet hyperkobling" xfId="20" builtinId="9" hidden="1"/>
    <cellStyle name="Benyttet hyperkobling" xfId="22" builtinId="9" hidden="1"/>
    <cellStyle name="Benyttet hyperkobling" xfId="24" builtinId="9" hidden="1"/>
    <cellStyle name="Benyttet hyperkobling" xfId="26" builtinId="9" hidden="1"/>
    <cellStyle name="Benyttet hyperkobling" xfId="28" builtinId="9" hidden="1"/>
    <cellStyle name="Benyttet hyperkobling" xfId="30"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Hyperkobling" xfId="13" builtinId="8" hidden="1"/>
    <cellStyle name="Hyperkobling" xfId="15" builtinId="8" hidden="1"/>
    <cellStyle name="Hyperkobling" xfId="17" builtinId="8" hidden="1"/>
    <cellStyle name="Hyperkobling" xfId="19" builtinId="8" hidden="1"/>
    <cellStyle name="Hyperkobling" xfId="21" builtinId="8" hidden="1"/>
    <cellStyle name="Hyperkobling" xfId="23" builtinId="8" hidden="1"/>
    <cellStyle name="Hyperkobling" xfId="25" builtinId="8" hidden="1"/>
    <cellStyle name="Hyperkobling" xfId="27" builtinId="8" hidden="1"/>
    <cellStyle name="Hyperkobling" xfId="29" builtinId="8" hidden="1"/>
    <cellStyle name="Normal" xfId="0" builtinId="0"/>
    <cellStyle name="Prosent" xfId="32" builtinId="5"/>
  </cellStyles>
  <dxfs count="10">
    <dxf>
      <fill>
        <patternFill>
          <bgColor rgb="FFFF0000"/>
        </patternFill>
      </fill>
    </dxf>
    <dxf>
      <fill>
        <patternFill>
          <bgColor rgb="FFFF0000"/>
        </patternFill>
      </fill>
    </dxf>
    <dxf>
      <font>
        <b/>
        <i val="0"/>
      </font>
    </dxf>
    <dxf>
      <font>
        <b/>
        <i val="0"/>
      </font>
    </dxf>
    <dxf>
      <font>
        <b/>
        <i val="0"/>
      </font>
    </dxf>
    <dxf>
      <font>
        <b/>
        <i val="0"/>
      </font>
    </dxf>
    <dxf>
      <font>
        <b/>
        <i val="0"/>
      </font>
    </dxf>
    <dxf>
      <font>
        <b/>
        <i val="0"/>
      </font>
    </dxf>
    <dxf>
      <font>
        <b/>
        <i val="0"/>
        <color auto="1"/>
        <name val="Cambria"/>
        <scheme val="none"/>
      </font>
      <fill>
        <patternFill>
          <bgColor theme="0"/>
        </patternFill>
      </fill>
    </dxf>
    <dxf>
      <font>
        <b/>
        <i val="0"/>
        <color auto="1"/>
        <name val="Cambria"/>
        <scheme val="none"/>
      </font>
      <fill>
        <patternFill>
          <bgColor theme="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4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7</xdr:row>
      <xdr:rowOff>56487</xdr:rowOff>
    </xdr:from>
    <xdr:to>
      <xdr:col>21</xdr:col>
      <xdr:colOff>628650</xdr:colOff>
      <xdr:row>23</xdr:row>
      <xdr:rowOff>48933</xdr:rowOff>
    </xdr:to>
    <xdr:pic>
      <xdr:nvPicPr>
        <xdr:cNvPr id="2" name="Picture 1">
          <a:extLst>
            <a:ext uri="{FF2B5EF4-FFF2-40B4-BE49-F238E27FC236}">
              <a16:creationId xmlns:a16="http://schemas.microsoft.com/office/drawing/2014/main" id="{07B10840-C45D-43B6-BB51-D34081D51B19}"/>
            </a:ext>
          </a:extLst>
        </xdr:cNvPr>
        <xdr:cNvPicPr>
          <a:picLocks noChangeAspect="1"/>
        </xdr:cNvPicPr>
      </xdr:nvPicPr>
      <xdr:blipFill>
        <a:blip xmlns:r="http://schemas.openxmlformats.org/officeDocument/2006/relationships" r:embed="rId1"/>
        <a:stretch>
          <a:fillRect/>
        </a:stretch>
      </xdr:blipFill>
      <xdr:spPr>
        <a:xfrm>
          <a:off x="8572500" y="1790037"/>
          <a:ext cx="6334125" cy="4526346"/>
        </a:xfrm>
        <a:prstGeom prst="rect">
          <a:avLst/>
        </a:prstGeom>
      </xdr:spPr>
    </xdr:pic>
    <xdr:clientData/>
  </xdr:twoCellAnchor>
  <xdr:twoCellAnchor editAs="oneCell">
    <xdr:from>
      <xdr:col>1</xdr:col>
      <xdr:colOff>180975</xdr:colOff>
      <xdr:row>0</xdr:row>
      <xdr:rowOff>114300</xdr:rowOff>
    </xdr:from>
    <xdr:to>
      <xdr:col>6</xdr:col>
      <xdr:colOff>652400</xdr:colOff>
      <xdr:row>4</xdr:row>
      <xdr:rowOff>19050</xdr:rowOff>
    </xdr:to>
    <xdr:pic>
      <xdr:nvPicPr>
        <xdr:cNvPr id="6" name="Picture 5">
          <a:extLst>
            <a:ext uri="{FF2B5EF4-FFF2-40B4-BE49-F238E27FC236}">
              <a16:creationId xmlns:a16="http://schemas.microsoft.com/office/drawing/2014/main" id="{D83912BE-3E76-4D37-A2C3-0B7E3C18D008}"/>
            </a:ext>
          </a:extLst>
        </xdr:cNvPr>
        <xdr:cNvPicPr>
          <a:picLocks noChangeAspect="1"/>
        </xdr:cNvPicPr>
      </xdr:nvPicPr>
      <xdr:blipFill rotWithShape="1">
        <a:blip xmlns:r="http://schemas.openxmlformats.org/officeDocument/2006/relationships" r:embed="rId2"/>
        <a:srcRect l="7441" t="19167" r="4606" b="8319"/>
        <a:stretch/>
      </xdr:blipFill>
      <xdr:spPr>
        <a:xfrm>
          <a:off x="466725" y="114300"/>
          <a:ext cx="3309875"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20</xdr:row>
      <xdr:rowOff>57149</xdr:rowOff>
    </xdr:from>
    <xdr:to>
      <xdr:col>15</xdr:col>
      <xdr:colOff>95249</xdr:colOff>
      <xdr:row>54</xdr:row>
      <xdr:rowOff>210623</xdr:rowOff>
    </xdr:to>
    <xdr:pic>
      <xdr:nvPicPr>
        <xdr:cNvPr id="2" name="Picture 1">
          <a:extLst>
            <a:ext uri="{FF2B5EF4-FFF2-40B4-BE49-F238E27FC236}">
              <a16:creationId xmlns:a16="http://schemas.microsoft.com/office/drawing/2014/main" id="{5D044E5A-5F49-49EA-9DEF-0CB4935215F8}"/>
            </a:ext>
          </a:extLst>
        </xdr:cNvPr>
        <xdr:cNvPicPr>
          <a:picLocks noChangeAspect="1"/>
        </xdr:cNvPicPr>
      </xdr:nvPicPr>
      <xdr:blipFill>
        <a:blip xmlns:r="http://schemas.openxmlformats.org/officeDocument/2006/relationships" r:embed="rId1"/>
        <a:stretch>
          <a:fillRect/>
        </a:stretch>
      </xdr:blipFill>
      <xdr:spPr>
        <a:xfrm>
          <a:off x="133350" y="6657974"/>
          <a:ext cx="6896099" cy="6916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52</xdr:row>
      <xdr:rowOff>228601</xdr:rowOff>
    </xdr:from>
    <xdr:to>
      <xdr:col>4</xdr:col>
      <xdr:colOff>578886</xdr:colOff>
      <xdr:row>58</xdr:row>
      <xdr:rowOff>9525</xdr:rowOff>
    </xdr:to>
    <xdr:pic>
      <xdr:nvPicPr>
        <xdr:cNvPr id="2" name="Picture 1">
          <a:extLst>
            <a:ext uri="{FF2B5EF4-FFF2-40B4-BE49-F238E27FC236}">
              <a16:creationId xmlns:a16="http://schemas.microsoft.com/office/drawing/2014/main" id="{2CEA3E91-E5DC-439C-AF14-F64B7AEBBFCC}"/>
            </a:ext>
          </a:extLst>
        </xdr:cNvPr>
        <xdr:cNvPicPr>
          <a:picLocks noChangeAspect="1"/>
        </xdr:cNvPicPr>
      </xdr:nvPicPr>
      <xdr:blipFill>
        <a:blip xmlns:r="http://schemas.openxmlformats.org/officeDocument/2006/relationships" r:embed="rId1"/>
        <a:stretch>
          <a:fillRect/>
        </a:stretch>
      </xdr:blipFill>
      <xdr:spPr>
        <a:xfrm>
          <a:off x="28576" y="21507451"/>
          <a:ext cx="5027060" cy="3057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447674</xdr:colOff>
      <xdr:row>47</xdr:row>
      <xdr:rowOff>34925</xdr:rowOff>
    </xdr:from>
    <xdr:ext cx="65" cy="172227"/>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6914091" y="1658725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oneCellAnchor>
    <xdr:from>
      <xdr:col>11</xdr:col>
      <xdr:colOff>532342</xdr:colOff>
      <xdr:row>47</xdr:row>
      <xdr:rowOff>0</xdr:rowOff>
    </xdr:from>
    <xdr:ext cx="65" cy="172227"/>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464675" y="1606338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447674</xdr:colOff>
      <xdr:row>58</xdr:row>
      <xdr:rowOff>34925</xdr:rowOff>
    </xdr:from>
    <xdr:ext cx="65" cy="172227"/>
    <xdr:sp macro="" textlink="">
      <xdr:nvSpPr>
        <xdr:cNvPr id="2" name="TekstSylinder 1">
          <a:extLst>
            <a:ext uri="{FF2B5EF4-FFF2-40B4-BE49-F238E27FC236}">
              <a16:creationId xmlns:a16="http://schemas.microsoft.com/office/drawing/2014/main" id="{00000000-0008-0000-0900-000002000000}"/>
            </a:ext>
          </a:extLst>
        </xdr:cNvPr>
        <xdr:cNvSpPr txBox="1"/>
      </xdr:nvSpPr>
      <xdr:spPr>
        <a:xfrm>
          <a:off x="7248524" y="1645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oneCellAnchor>
    <xdr:from>
      <xdr:col>11</xdr:col>
      <xdr:colOff>532342</xdr:colOff>
      <xdr:row>58</xdr:row>
      <xdr:rowOff>0</xdr:rowOff>
    </xdr:from>
    <xdr:ext cx="65" cy="172227"/>
    <xdr:sp macro="" textlink="">
      <xdr:nvSpPr>
        <xdr:cNvPr id="3" name="TekstSylinder 2">
          <a:extLst>
            <a:ext uri="{FF2B5EF4-FFF2-40B4-BE49-F238E27FC236}">
              <a16:creationId xmlns:a16="http://schemas.microsoft.com/office/drawing/2014/main" id="{00000000-0008-0000-0900-000003000000}"/>
            </a:ext>
          </a:extLst>
        </xdr:cNvPr>
        <xdr:cNvSpPr txBox="1"/>
      </xdr:nvSpPr>
      <xdr:spPr>
        <a:xfrm>
          <a:off x="9800167" y="16421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W27"/>
  <sheetViews>
    <sheetView workbookViewId="0">
      <selection activeCell="M38" sqref="M38"/>
    </sheetView>
  </sheetViews>
  <sheetFormatPr baseColWidth="10" defaultColWidth="10.7109375" defaultRowHeight="14.25" x14ac:dyDescent="0.2"/>
  <cols>
    <col min="1" max="1" width="4.28515625" style="63" customWidth="1"/>
    <col min="2" max="2" width="5.7109375" style="64" customWidth="1"/>
    <col min="3" max="3" width="4.7109375" style="63" customWidth="1"/>
    <col min="4" max="9" width="10.7109375" style="63"/>
    <col min="10" max="10" width="17.28515625" style="63" customWidth="1"/>
    <col min="11" max="21" width="10.7109375" style="63"/>
    <col min="22" max="22" width="15.140625" style="63" customWidth="1"/>
    <col min="23" max="16384" width="10.7109375" style="63"/>
  </cols>
  <sheetData>
    <row r="1" spans="1:23" ht="15" x14ac:dyDescent="0.2">
      <c r="A1" s="544"/>
      <c r="B1" s="545"/>
      <c r="C1" s="545"/>
      <c r="D1" s="545"/>
      <c r="E1" s="545"/>
      <c r="F1" s="545"/>
      <c r="G1" s="545"/>
      <c r="H1" s="545"/>
      <c r="I1" s="545"/>
      <c r="J1" s="545"/>
      <c r="K1" s="545"/>
      <c r="L1" s="545"/>
      <c r="M1" s="545"/>
      <c r="N1" s="545"/>
      <c r="O1" s="545"/>
      <c r="P1" s="545"/>
      <c r="Q1" s="545"/>
      <c r="R1" s="545"/>
      <c r="S1" s="545"/>
      <c r="T1" s="545"/>
      <c r="U1" s="545"/>
      <c r="V1" s="545"/>
      <c r="W1" s="547"/>
    </row>
    <row r="2" spans="1:23" ht="15" x14ac:dyDescent="0.2">
      <c r="A2" s="509"/>
      <c r="B2" s="302"/>
      <c r="C2" s="302"/>
      <c r="D2" s="302"/>
      <c r="E2" s="302"/>
      <c r="F2" s="302"/>
      <c r="G2" s="302"/>
      <c r="H2" s="302"/>
      <c r="I2" s="302"/>
      <c r="J2" s="302"/>
      <c r="K2" s="302"/>
      <c r="L2" s="302"/>
      <c r="M2" s="302"/>
      <c r="N2" s="302"/>
      <c r="O2" s="302"/>
      <c r="P2" s="302"/>
      <c r="Q2" s="302"/>
      <c r="R2" s="302"/>
      <c r="S2" s="302"/>
      <c r="T2" s="302"/>
      <c r="U2" s="302"/>
      <c r="V2" s="302"/>
      <c r="W2" s="547"/>
    </row>
    <row r="3" spans="1:23" ht="15" x14ac:dyDescent="0.2">
      <c r="A3" s="509"/>
      <c r="B3" s="302"/>
      <c r="C3" s="302"/>
      <c r="D3" s="302"/>
      <c r="E3" s="302"/>
      <c r="F3" s="302"/>
      <c r="G3" s="302"/>
      <c r="H3" s="302"/>
      <c r="I3" s="302"/>
      <c r="J3" s="302"/>
      <c r="K3" s="302"/>
      <c r="L3" s="302"/>
      <c r="M3" s="302"/>
      <c r="N3" s="302"/>
      <c r="O3" s="302"/>
      <c r="P3" s="302"/>
      <c r="Q3" s="302"/>
      <c r="R3" s="302"/>
      <c r="S3" s="302"/>
      <c r="T3" s="302"/>
      <c r="U3" s="302"/>
      <c r="V3" s="302"/>
      <c r="W3" s="547"/>
    </row>
    <row r="4" spans="1:23" ht="15.75" thickBot="1" x14ac:dyDescent="0.25">
      <c r="A4" s="509"/>
      <c r="B4" s="302"/>
      <c r="C4" s="302"/>
      <c r="D4" s="302"/>
      <c r="E4" s="302"/>
      <c r="F4" s="302"/>
      <c r="G4" s="302"/>
      <c r="H4" s="302"/>
      <c r="I4" s="302"/>
      <c r="J4" s="302"/>
      <c r="K4" s="302"/>
      <c r="L4" s="302"/>
      <c r="M4" s="302"/>
      <c r="N4" s="302"/>
      <c r="O4" s="302"/>
      <c r="P4" s="302"/>
      <c r="Q4" s="302"/>
      <c r="R4" s="302"/>
      <c r="S4" s="302"/>
      <c r="T4" s="302"/>
      <c r="U4" s="302"/>
      <c r="V4" s="302"/>
      <c r="W4" s="551"/>
    </row>
    <row r="5" spans="1:23" ht="41.25" customHeight="1" x14ac:dyDescent="0.2">
      <c r="A5" s="509"/>
      <c r="B5" s="302"/>
      <c r="C5" s="302"/>
      <c r="D5" s="642" t="s">
        <v>109</v>
      </c>
      <c r="E5" s="302"/>
      <c r="F5" s="302"/>
      <c r="G5" s="302"/>
      <c r="H5" s="518"/>
      <c r="I5" s="518"/>
      <c r="J5" s="518"/>
      <c r="K5" s="514"/>
      <c r="L5" s="302"/>
      <c r="M5" s="514"/>
      <c r="N5" s="302"/>
      <c r="O5" s="302"/>
      <c r="P5" s="302"/>
      <c r="Q5" s="514"/>
      <c r="R5" s="302"/>
      <c r="S5" s="722" t="s">
        <v>434</v>
      </c>
      <c r="T5" s="723"/>
      <c r="U5" s="723"/>
      <c r="V5" s="724"/>
      <c r="W5" s="547"/>
    </row>
    <row r="6" spans="1:23" ht="46.5" customHeight="1" thickBot="1" x14ac:dyDescent="0.25">
      <c r="A6" s="509"/>
      <c r="B6" s="302"/>
      <c r="C6" s="302"/>
      <c r="D6" s="552" t="s">
        <v>110</v>
      </c>
      <c r="E6" s="302"/>
      <c r="G6" s="548"/>
      <c r="H6" s="546"/>
      <c r="I6" s="546"/>
      <c r="J6" s="546"/>
      <c r="K6" s="549"/>
      <c r="L6" s="549"/>
      <c r="M6" s="549"/>
      <c r="N6" s="549"/>
      <c r="O6" s="549"/>
      <c r="P6" s="549"/>
      <c r="Q6" s="302"/>
      <c r="R6" s="550"/>
      <c r="S6" s="725" t="s">
        <v>435</v>
      </c>
      <c r="T6" s="726"/>
      <c r="U6" s="726"/>
      <c r="V6" s="727"/>
      <c r="W6" s="551"/>
    </row>
    <row r="7" spans="1:23" ht="19.5" customHeight="1" x14ac:dyDescent="0.2">
      <c r="A7" s="509"/>
      <c r="B7" s="302"/>
      <c r="C7" s="302"/>
      <c r="D7" s="302"/>
      <c r="E7" s="302"/>
      <c r="F7" s="302"/>
      <c r="G7" s="302"/>
      <c r="H7" s="302"/>
      <c r="I7" s="302"/>
      <c r="J7" s="302"/>
      <c r="K7" s="302"/>
      <c r="L7" s="302"/>
      <c r="M7" s="302"/>
      <c r="N7" s="302"/>
      <c r="O7" s="302"/>
      <c r="P7" s="302"/>
      <c r="Q7" s="302"/>
      <c r="R7" s="302"/>
      <c r="S7" s="302"/>
      <c r="T7" s="302"/>
      <c r="U7" s="302"/>
      <c r="V7" s="302"/>
      <c r="W7" s="547"/>
    </row>
    <row r="8" spans="1:23" ht="28.35" customHeight="1" x14ac:dyDescent="0.2">
      <c r="A8" s="509"/>
      <c r="B8" s="552" t="s">
        <v>111</v>
      </c>
      <c r="C8" s="553"/>
      <c r="D8" s="553"/>
      <c r="E8" s="553"/>
      <c r="F8" s="553"/>
      <c r="G8" s="553"/>
      <c r="H8" s="302"/>
      <c r="I8" s="302"/>
      <c r="J8" s="302"/>
      <c r="K8" s="302"/>
      <c r="L8" s="302"/>
      <c r="M8" s="302"/>
      <c r="N8" s="302"/>
      <c r="O8" s="302"/>
      <c r="P8" s="302"/>
      <c r="Q8" s="302"/>
      <c r="R8" s="302"/>
      <c r="S8" s="302"/>
      <c r="T8" s="302"/>
      <c r="U8" s="302"/>
      <c r="V8" s="302"/>
      <c r="W8" s="547"/>
    </row>
    <row r="9" spans="1:23" ht="17.25" customHeight="1" x14ac:dyDescent="0.2">
      <c r="A9" s="509"/>
      <c r="B9" s="302"/>
      <c r="C9" s="302"/>
      <c r="D9" s="302"/>
      <c r="E9" s="302"/>
      <c r="F9" s="302"/>
      <c r="G9" s="302"/>
      <c r="H9" s="302"/>
      <c r="I9" s="302"/>
      <c r="J9" s="302"/>
      <c r="K9" s="302"/>
      <c r="L9" s="302"/>
      <c r="M9" s="302"/>
      <c r="N9" s="302"/>
      <c r="O9" s="302"/>
      <c r="P9" s="302"/>
      <c r="Q9" s="302"/>
      <c r="R9" s="302"/>
      <c r="S9" s="302"/>
      <c r="T9" s="302"/>
      <c r="U9" s="302"/>
      <c r="V9" s="302"/>
      <c r="W9" s="547"/>
    </row>
    <row r="10" spans="1:23" ht="21" customHeight="1" x14ac:dyDescent="0.2">
      <c r="A10" s="509"/>
      <c r="B10" s="511">
        <v>1</v>
      </c>
      <c r="C10" s="706" t="s">
        <v>442</v>
      </c>
      <c r="D10" s="302"/>
      <c r="E10" s="302"/>
      <c r="F10" s="302"/>
      <c r="G10" s="302"/>
      <c r="H10" s="302"/>
      <c r="I10" s="302"/>
      <c r="J10" s="302"/>
      <c r="K10" s="302"/>
      <c r="L10" s="302"/>
      <c r="M10" s="302"/>
      <c r="N10" s="302"/>
      <c r="O10" s="302"/>
      <c r="P10" s="302"/>
      <c r="Q10" s="302"/>
      <c r="R10" s="302"/>
      <c r="S10" s="302"/>
      <c r="T10" s="302"/>
      <c r="U10" s="302"/>
      <c r="V10" s="302"/>
      <c r="W10" s="547"/>
    </row>
    <row r="11" spans="1:23" ht="21" customHeight="1" x14ac:dyDescent="0.2">
      <c r="A11" s="509"/>
      <c r="B11" s="302"/>
      <c r="C11" s="513" t="s">
        <v>58</v>
      </c>
      <c r="D11" s="729" t="s">
        <v>436</v>
      </c>
      <c r="E11" s="729"/>
      <c r="F11" s="729"/>
      <c r="G11" s="729"/>
      <c r="H11" s="729"/>
      <c r="I11" s="729"/>
      <c r="J11" s="729"/>
      <c r="K11" s="302"/>
      <c r="L11" s="302"/>
      <c r="M11" s="302"/>
      <c r="N11" s="302"/>
      <c r="O11" s="302"/>
      <c r="P11" s="302"/>
      <c r="Q11" s="302"/>
      <c r="R11" s="302"/>
      <c r="S11" s="302"/>
      <c r="T11" s="302"/>
      <c r="U11" s="302"/>
      <c r="V11" s="302"/>
      <c r="W11" s="547"/>
    </row>
    <row r="12" spans="1:23" ht="21" customHeight="1" x14ac:dyDescent="0.2">
      <c r="A12" s="509"/>
      <c r="B12" s="302"/>
      <c r="C12" s="512" t="s">
        <v>59</v>
      </c>
      <c r="D12" s="730" t="s">
        <v>449</v>
      </c>
      <c r="E12" s="730"/>
      <c r="F12" s="730"/>
      <c r="G12" s="730"/>
      <c r="H12" s="730"/>
      <c r="I12" s="730"/>
      <c r="J12" s="730"/>
      <c r="K12" s="302"/>
      <c r="L12" s="302"/>
      <c r="M12" s="302"/>
      <c r="N12" s="302"/>
      <c r="O12" s="302"/>
      <c r="P12" s="302"/>
      <c r="Q12" s="302"/>
      <c r="R12" s="302"/>
      <c r="S12" s="302"/>
      <c r="T12" s="302"/>
      <c r="U12" s="302"/>
      <c r="V12" s="302"/>
      <c r="W12" s="547"/>
    </row>
    <row r="13" spans="1:23" ht="21" customHeight="1" x14ac:dyDescent="0.2">
      <c r="A13" s="509"/>
      <c r="B13" s="302"/>
      <c r="C13" s="513" t="s">
        <v>60</v>
      </c>
      <c r="D13" s="728" t="s">
        <v>112</v>
      </c>
      <c r="E13" s="728"/>
      <c r="F13" s="728"/>
      <c r="G13" s="728"/>
      <c r="H13" s="728"/>
      <c r="I13" s="728"/>
      <c r="J13" s="728"/>
      <c r="K13" s="728"/>
      <c r="L13" s="728"/>
      <c r="M13" s="302"/>
      <c r="N13" s="302"/>
      <c r="O13" s="302"/>
      <c r="P13" s="302"/>
      <c r="Q13" s="302"/>
      <c r="R13" s="302"/>
      <c r="S13" s="302"/>
      <c r="T13" s="302"/>
      <c r="U13" s="302"/>
      <c r="V13" s="302"/>
      <c r="W13" s="547"/>
    </row>
    <row r="14" spans="1:23" ht="15" customHeight="1" x14ac:dyDescent="0.2">
      <c r="A14" s="509"/>
      <c r="B14" s="302"/>
      <c r="C14" s="302"/>
      <c r="D14" s="302"/>
      <c r="E14" s="302"/>
      <c r="F14" s="302"/>
      <c r="G14" s="302"/>
      <c r="H14" s="302"/>
      <c r="I14" s="302"/>
      <c r="J14" s="302"/>
      <c r="K14" s="302"/>
      <c r="L14" s="302"/>
      <c r="M14" s="302"/>
      <c r="N14" s="302"/>
      <c r="O14" s="302"/>
      <c r="P14" s="302"/>
      <c r="Q14" s="302"/>
      <c r="R14" s="302"/>
      <c r="S14" s="302"/>
      <c r="T14" s="302"/>
      <c r="U14" s="302"/>
      <c r="V14" s="302"/>
      <c r="W14" s="547"/>
    </row>
    <row r="15" spans="1:23" ht="33" customHeight="1" x14ac:dyDescent="0.2">
      <c r="A15" s="509"/>
      <c r="B15" s="511">
        <v>2</v>
      </c>
      <c r="C15" s="731" t="s">
        <v>440</v>
      </c>
      <c r="D15" s="732"/>
      <c r="E15" s="732"/>
      <c r="F15" s="732"/>
      <c r="G15" s="732"/>
      <c r="H15" s="732"/>
      <c r="I15" s="732"/>
      <c r="J15" s="732"/>
      <c r="K15" s="302"/>
      <c r="L15" s="302"/>
      <c r="M15" s="302"/>
      <c r="N15" s="302"/>
      <c r="O15" s="302"/>
      <c r="P15" s="302"/>
      <c r="Q15" s="302"/>
      <c r="R15" s="302"/>
      <c r="S15" s="302"/>
      <c r="T15" s="302"/>
      <c r="U15" s="302"/>
      <c r="V15" s="302"/>
      <c r="W15" s="547"/>
    </row>
    <row r="16" spans="1:23" ht="33" customHeight="1" x14ac:dyDescent="0.2">
      <c r="A16" s="509"/>
      <c r="B16" s="302"/>
      <c r="C16" s="707" t="s">
        <v>61</v>
      </c>
      <c r="D16" s="714" t="s">
        <v>447</v>
      </c>
      <c r="E16" s="715"/>
      <c r="F16" s="715"/>
      <c r="G16" s="715"/>
      <c r="H16" s="715"/>
      <c r="I16" s="715"/>
      <c r="J16" s="715"/>
      <c r="K16" s="715"/>
      <c r="L16" s="715"/>
      <c r="M16" s="302"/>
      <c r="N16" s="302"/>
      <c r="O16" s="302"/>
      <c r="P16" s="302"/>
      <c r="Q16" s="302"/>
      <c r="R16" s="302"/>
      <c r="S16" s="302"/>
      <c r="T16" s="302"/>
      <c r="U16" s="302"/>
      <c r="V16" s="302"/>
      <c r="W16" s="547"/>
    </row>
    <row r="17" spans="1:23" ht="15" customHeight="1" x14ac:dyDescent="0.2">
      <c r="A17" s="509"/>
      <c r="B17" s="302"/>
      <c r="C17" s="302"/>
      <c r="D17" s="302"/>
      <c r="E17" s="302"/>
      <c r="F17" s="302"/>
      <c r="G17" s="302"/>
      <c r="H17" s="302"/>
      <c r="I17" s="302"/>
      <c r="J17" s="302"/>
      <c r="K17" s="302"/>
      <c r="L17" s="302"/>
      <c r="M17" s="302"/>
      <c r="N17" s="302"/>
      <c r="O17" s="302"/>
      <c r="P17" s="302"/>
      <c r="Q17" s="302"/>
      <c r="R17" s="302"/>
      <c r="S17" s="302"/>
      <c r="T17" s="302"/>
      <c r="U17" s="302"/>
      <c r="V17" s="302"/>
      <c r="W17" s="547"/>
    </row>
    <row r="18" spans="1:23" ht="21" customHeight="1" x14ac:dyDescent="0.2">
      <c r="A18" s="509"/>
      <c r="B18" s="511">
        <v>3</v>
      </c>
      <c r="C18" s="733" t="s">
        <v>448</v>
      </c>
      <c r="D18" s="734"/>
      <c r="E18" s="734"/>
      <c r="F18" s="734"/>
      <c r="G18" s="734"/>
      <c r="H18" s="734"/>
      <c r="I18" s="734"/>
      <c r="J18" s="735"/>
      <c r="K18" s="302"/>
      <c r="L18" s="302"/>
      <c r="M18" s="302"/>
      <c r="N18" s="302"/>
      <c r="O18" s="302"/>
      <c r="P18" s="302"/>
      <c r="Q18" s="302"/>
      <c r="R18" s="302"/>
      <c r="S18" s="302"/>
      <c r="T18" s="302"/>
      <c r="U18" s="302"/>
      <c r="V18" s="302"/>
      <c r="W18" s="547"/>
    </row>
    <row r="19" spans="1:23" ht="21" customHeight="1" x14ac:dyDescent="0.2">
      <c r="A19" s="509"/>
      <c r="B19" s="302"/>
      <c r="C19" s="708" t="s">
        <v>62</v>
      </c>
      <c r="D19" s="716" t="s">
        <v>437</v>
      </c>
      <c r="E19" s="717"/>
      <c r="F19" s="717"/>
      <c r="G19" s="717"/>
      <c r="H19" s="717"/>
      <c r="I19" s="717"/>
      <c r="J19" s="718"/>
      <c r="K19" s="302"/>
      <c r="L19" s="302"/>
      <c r="M19" s="302"/>
      <c r="N19" s="302"/>
      <c r="O19" s="302"/>
      <c r="P19" s="302"/>
      <c r="Q19" s="302"/>
      <c r="R19" s="302"/>
      <c r="S19" s="302"/>
      <c r="T19" s="302"/>
      <c r="U19" s="302"/>
      <c r="V19" s="302"/>
      <c r="W19" s="547"/>
    </row>
    <row r="20" spans="1:23" ht="21" customHeight="1" x14ac:dyDescent="0.2">
      <c r="A20" s="509"/>
      <c r="B20" s="302"/>
      <c r="C20" s="709" t="s">
        <v>63</v>
      </c>
      <c r="D20" s="719" t="s">
        <v>438</v>
      </c>
      <c r="E20" s="720"/>
      <c r="F20" s="720"/>
      <c r="G20" s="720"/>
      <c r="H20" s="720"/>
      <c r="I20" s="720"/>
      <c r="J20" s="721"/>
      <c r="K20" s="302"/>
      <c r="L20" s="302"/>
      <c r="M20" s="302"/>
      <c r="N20" s="302"/>
      <c r="O20" s="302"/>
      <c r="P20" s="302"/>
      <c r="Q20" s="302"/>
      <c r="R20" s="302"/>
      <c r="S20" s="302"/>
      <c r="T20" s="302"/>
      <c r="U20" s="302"/>
      <c r="V20" s="302"/>
      <c r="W20" s="547"/>
    </row>
    <row r="21" spans="1:23" ht="21" customHeight="1" x14ac:dyDescent="0.2">
      <c r="A21" s="509"/>
      <c r="B21" s="302"/>
      <c r="C21" s="710" t="s">
        <v>64</v>
      </c>
      <c r="D21" s="711" t="s">
        <v>439</v>
      </c>
      <c r="E21" s="712"/>
      <c r="F21" s="712"/>
      <c r="G21" s="712"/>
      <c r="H21" s="712"/>
      <c r="I21" s="712"/>
      <c r="J21" s="713"/>
      <c r="K21" s="302"/>
      <c r="L21" s="302"/>
      <c r="M21" s="302"/>
      <c r="N21" s="302"/>
      <c r="O21" s="302"/>
      <c r="P21" s="302"/>
      <c r="Q21" s="302"/>
      <c r="R21" s="302"/>
      <c r="S21" s="302"/>
      <c r="T21" s="302"/>
      <c r="U21" s="302"/>
      <c r="V21" s="302"/>
      <c r="W21" s="547"/>
    </row>
    <row r="22" spans="1:23" ht="15" customHeight="1" x14ac:dyDescent="0.2">
      <c r="A22" s="509"/>
      <c r="B22" s="302"/>
      <c r="C22" s="302"/>
      <c r="D22" s="302"/>
      <c r="E22" s="302"/>
      <c r="F22" s="302"/>
      <c r="G22" s="302"/>
      <c r="H22" s="302"/>
      <c r="I22" s="302"/>
      <c r="J22" s="302"/>
      <c r="K22" s="302"/>
      <c r="L22" s="302"/>
      <c r="M22" s="302"/>
      <c r="N22" s="302"/>
      <c r="O22" s="302"/>
      <c r="P22" s="302"/>
      <c r="Q22" s="302"/>
      <c r="R22" s="302"/>
      <c r="S22" s="302"/>
      <c r="T22" s="302"/>
      <c r="U22" s="302"/>
      <c r="V22" s="302"/>
      <c r="W22" s="547"/>
    </row>
    <row r="23" spans="1:23" ht="33" customHeight="1" x14ac:dyDescent="0.2">
      <c r="A23" s="509"/>
      <c r="B23" s="511">
        <v>4</v>
      </c>
      <c r="C23" s="714" t="s">
        <v>441</v>
      </c>
      <c r="D23" s="715"/>
      <c r="E23" s="715"/>
      <c r="F23" s="715"/>
      <c r="G23" s="715"/>
      <c r="H23" s="715"/>
      <c r="I23" s="715"/>
      <c r="J23" s="715"/>
      <c r="K23" s="715"/>
      <c r="L23" s="715"/>
      <c r="M23" s="302"/>
      <c r="N23" s="302"/>
      <c r="O23" s="302"/>
      <c r="P23" s="302"/>
      <c r="Q23" s="302"/>
      <c r="R23" s="302"/>
      <c r="S23" s="302"/>
      <c r="T23" s="302"/>
      <c r="U23" s="302"/>
      <c r="V23" s="302"/>
      <c r="W23" s="547"/>
    </row>
    <row r="24" spans="1:23" ht="15" x14ac:dyDescent="0.2">
      <c r="A24" s="509"/>
      <c r="B24" s="302"/>
      <c r="C24" s="302"/>
      <c r="D24" s="302"/>
      <c r="E24" s="302"/>
      <c r="F24" s="302"/>
      <c r="G24" s="302"/>
      <c r="H24" s="302"/>
      <c r="I24" s="302"/>
      <c r="J24" s="302"/>
      <c r="K24" s="302"/>
      <c r="L24" s="302"/>
      <c r="M24" s="302"/>
      <c r="N24" s="302"/>
      <c r="O24" s="302"/>
      <c r="P24" s="302"/>
      <c r="Q24" s="302"/>
      <c r="R24" s="302"/>
      <c r="S24" s="302"/>
      <c r="T24" s="302"/>
      <c r="U24" s="302"/>
      <c r="V24" s="302"/>
      <c r="W24" s="547"/>
    </row>
    <row r="25" spans="1:23" ht="15" x14ac:dyDescent="0.2">
      <c r="A25" s="509"/>
      <c r="B25" s="302"/>
      <c r="C25" s="302"/>
      <c r="D25" s="302"/>
      <c r="E25" s="302"/>
      <c r="F25" s="302"/>
      <c r="G25" s="302"/>
      <c r="H25" s="302"/>
      <c r="I25" s="302"/>
      <c r="J25" s="302"/>
      <c r="K25" s="302"/>
      <c r="L25" s="302"/>
      <c r="M25" s="302"/>
      <c r="N25" s="302"/>
      <c r="O25" s="302"/>
      <c r="P25" s="302"/>
      <c r="Q25" s="302"/>
      <c r="R25" s="302"/>
      <c r="S25" s="302"/>
      <c r="T25" s="302"/>
      <c r="U25" s="302"/>
      <c r="V25" s="302"/>
      <c r="W25" s="547"/>
    </row>
    <row r="26" spans="1:23" ht="15" x14ac:dyDescent="0.2">
      <c r="A26" s="509"/>
      <c r="B26" s="302"/>
      <c r="C26" s="302"/>
      <c r="D26" s="302"/>
      <c r="E26" s="302"/>
      <c r="F26" s="302"/>
      <c r="G26" s="302"/>
      <c r="H26" s="302"/>
      <c r="I26" s="302"/>
      <c r="J26" s="302"/>
      <c r="K26" s="302"/>
      <c r="L26" s="302"/>
      <c r="M26" s="302"/>
      <c r="N26" s="302"/>
      <c r="O26" s="302"/>
      <c r="P26" s="302"/>
      <c r="Q26" s="302"/>
      <c r="R26" s="302"/>
      <c r="S26" s="302"/>
      <c r="T26" s="302"/>
      <c r="U26" s="302"/>
      <c r="V26" s="302"/>
      <c r="W26" s="547"/>
    </row>
    <row r="27" spans="1:23" ht="15" x14ac:dyDescent="0.2">
      <c r="A27" s="554"/>
      <c r="B27" s="555"/>
      <c r="C27" s="555"/>
      <c r="D27" s="555"/>
      <c r="E27" s="555"/>
      <c r="F27" s="555"/>
      <c r="G27" s="555"/>
      <c r="H27" s="555"/>
      <c r="I27" s="555"/>
      <c r="J27" s="555"/>
      <c r="K27" s="555"/>
      <c r="L27" s="555"/>
      <c r="M27" s="555"/>
      <c r="N27" s="555"/>
      <c r="O27" s="555"/>
      <c r="P27" s="555"/>
      <c r="Q27" s="555"/>
      <c r="R27" s="555"/>
      <c r="S27" s="555"/>
      <c r="T27" s="555"/>
      <c r="U27" s="555"/>
      <c r="V27" s="555"/>
      <c r="W27" s="556"/>
    </row>
  </sheetData>
  <sheetProtection algorithmName="SHA-512" hashValue="5sfzyxs8LiCc2L3HmtfIA499hjVHUhH1bI8B8FYr/YHQMWsatmRkrBEsLT9nQrRg5930HOAtScLMCKlrNmN2fg==" saltValue="c31pHCEH9DwrKeIIP7Mb1g==" spinCount="100000" sheet="1" objects="1" scenarios="1"/>
  <mergeCells count="11">
    <mergeCell ref="C23:L23"/>
    <mergeCell ref="D19:J19"/>
    <mergeCell ref="D20:J20"/>
    <mergeCell ref="S5:V5"/>
    <mergeCell ref="S6:V6"/>
    <mergeCell ref="D13:L13"/>
    <mergeCell ref="D16:L16"/>
    <mergeCell ref="D11:J11"/>
    <mergeCell ref="D12:J12"/>
    <mergeCell ref="C15:J15"/>
    <mergeCell ref="C18:J18"/>
  </mergeCells>
  <phoneticPr fontId="4" type="noConversion"/>
  <pageMargins left="0.78740157480314965" right="0.78740157480314965" top="0.98425196850393704" bottom="0.98425196850393704" header="0.51181102362204722" footer="0.51181102362204722"/>
  <pageSetup paperSize="8" orientation="landscape" horizontalDpi="4294967292" verticalDpi="4294967292"/>
  <headerFooter>
    <oddHeader>&amp;L&amp;"Times New Roman,Fet"&amp;18&amp;K000000God Desinfeksjonspraksis_x000D_&amp;14en excel-versjon av rapport 170/2009&amp;R&amp;"Times New Roman,Fet"&amp;12&amp;K000000Revidert januar 2014</oddHead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opLeftCell="A60" workbookViewId="0">
      <selection activeCell="E79" sqref="E79"/>
    </sheetView>
  </sheetViews>
  <sheetFormatPr baseColWidth="10" defaultColWidth="10.7109375" defaultRowHeight="15" x14ac:dyDescent="0.25"/>
  <cols>
    <col min="1" max="1" width="3.28515625" style="1" customWidth="1"/>
    <col min="2" max="2" width="4.85546875" style="1" customWidth="1"/>
    <col min="3" max="3" width="36.7109375" style="1" customWidth="1"/>
    <col min="4" max="4" width="15.28515625" style="1" customWidth="1"/>
    <col min="5" max="5" width="12.28515625" style="1" customWidth="1"/>
    <col min="6" max="6" width="21.7109375" style="1" customWidth="1"/>
    <col min="7" max="7" width="11.7109375" style="1" customWidth="1"/>
    <col min="8" max="8" width="14.42578125" style="1" customWidth="1"/>
    <col min="9" max="9" width="16" style="1" customWidth="1"/>
    <col min="10" max="10" width="18.42578125" style="1" customWidth="1"/>
    <col min="11" max="11" width="11.7109375" style="1" customWidth="1"/>
    <col min="12" max="12" width="11.42578125" style="1" customWidth="1"/>
    <col min="13" max="16384" width="10.7109375" style="1"/>
  </cols>
  <sheetData>
    <row r="1" spans="1:16" ht="15.75" thickBot="1" x14ac:dyDescent="0.3">
      <c r="A1" s="544"/>
      <c r="B1" s="545"/>
      <c r="C1" s="545"/>
      <c r="D1" s="545"/>
      <c r="E1" s="545"/>
      <c r="F1" s="545"/>
      <c r="G1" s="545"/>
      <c r="H1" s="545"/>
      <c r="I1" s="545"/>
      <c r="J1" s="545"/>
      <c r="K1" s="545"/>
      <c r="L1" s="545"/>
      <c r="M1" s="545"/>
      <c r="N1" s="545"/>
      <c r="O1" s="545"/>
      <c r="P1" s="559"/>
    </row>
    <row r="2" spans="1:16" ht="30.75" customHeight="1" x14ac:dyDescent="0.25">
      <c r="A2" s="509"/>
      <c r="B2" s="302"/>
      <c r="C2" s="1029" t="str">
        <f>'Lakes and catchment areas'!B2</f>
        <v>Owner of water treatment plant:</v>
      </c>
      <c r="D2" s="1030"/>
      <c r="E2" s="1020" t="str">
        <f>'Lakes and catchment areas'!D2</f>
        <v>BB</v>
      </c>
      <c r="F2" s="1020"/>
      <c r="G2" s="1020"/>
      <c r="H2" s="1020"/>
      <c r="I2" s="1021"/>
      <c r="J2" s="303"/>
      <c r="K2" s="303"/>
      <c r="L2" s="303"/>
      <c r="M2" s="303"/>
      <c r="N2" s="303"/>
      <c r="O2" s="303"/>
      <c r="P2" s="547"/>
    </row>
    <row r="3" spans="1:16" ht="33.75" customHeight="1" thickBot="1" x14ac:dyDescent="0.3">
      <c r="A3" s="509"/>
      <c r="B3" s="302"/>
      <c r="C3" s="1031" t="str">
        <f>'Lakes and catchment areas'!B3</f>
        <v>Name of the water treatment plant:</v>
      </c>
      <c r="D3" s="1032"/>
      <c r="E3" s="1022" t="str">
        <f>'Lakes and catchment areas'!D3</f>
        <v>VV</v>
      </c>
      <c r="F3" s="1022"/>
      <c r="G3" s="1022"/>
      <c r="H3" s="1022"/>
      <c r="I3" s="1023"/>
      <c r="J3" s="303"/>
      <c r="K3" s="303"/>
      <c r="L3" s="303"/>
      <c r="M3" s="303"/>
      <c r="N3" s="303"/>
      <c r="O3" s="303"/>
      <c r="P3" s="547"/>
    </row>
    <row r="4" spans="1:16" ht="22.5" customHeight="1" thickBot="1" x14ac:dyDescent="0.35">
      <c r="A4" s="509"/>
      <c r="B4" s="302"/>
      <c r="C4" s="309"/>
      <c r="D4" s="309"/>
      <c r="E4" s="300"/>
      <c r="F4" s="300"/>
      <c r="G4" s="300"/>
      <c r="H4" s="300"/>
      <c r="I4" s="303"/>
      <c r="J4" s="303"/>
      <c r="K4" s="303"/>
      <c r="L4" s="303"/>
      <c r="M4" s="303"/>
      <c r="N4" s="303"/>
      <c r="O4" s="303"/>
      <c r="P4" s="547"/>
    </row>
    <row r="5" spans="1:16" ht="42.75" customHeight="1" thickBot="1" x14ac:dyDescent="0.3">
      <c r="A5" s="509"/>
      <c r="B5" s="302"/>
      <c r="C5" s="1097" t="s">
        <v>236</v>
      </c>
      <c r="D5" s="1098"/>
      <c r="E5" s="1098"/>
      <c r="F5" s="1098"/>
      <c r="G5" s="1098"/>
      <c r="H5" s="1098"/>
      <c r="I5" s="1099"/>
      <c r="J5" s="303"/>
      <c r="K5" s="303"/>
      <c r="L5" s="303"/>
      <c r="M5" s="303"/>
      <c r="N5" s="303"/>
      <c r="O5" s="303"/>
      <c r="P5" s="547"/>
    </row>
    <row r="6" spans="1:16" ht="22.5" customHeight="1" thickBot="1" x14ac:dyDescent="0.35">
      <c r="A6" s="509"/>
      <c r="B6" s="302"/>
      <c r="C6" s="309"/>
      <c r="D6" s="309"/>
      <c r="E6" s="300"/>
      <c r="F6" s="300"/>
      <c r="G6" s="300"/>
      <c r="H6" s="300"/>
      <c r="I6" s="303"/>
      <c r="J6" s="303"/>
      <c r="K6" s="303"/>
      <c r="L6" s="303"/>
      <c r="M6" s="303"/>
      <c r="N6" s="303"/>
      <c r="O6" s="303"/>
      <c r="P6" s="547"/>
    </row>
    <row r="7" spans="1:16" ht="26.25" customHeight="1" x14ac:dyDescent="0.25">
      <c r="A7" s="509"/>
      <c r="B7" s="302"/>
      <c r="C7" s="1033" t="s">
        <v>376</v>
      </c>
      <c r="D7" s="1034"/>
      <c r="E7" s="1034"/>
      <c r="F7" s="664" t="s">
        <v>120</v>
      </c>
      <c r="G7" s="500" t="s">
        <v>55</v>
      </c>
      <c r="H7" s="500" t="s">
        <v>80</v>
      </c>
      <c r="I7" s="501" t="s">
        <v>379</v>
      </c>
      <c r="J7" s="253"/>
      <c r="K7" s="253"/>
      <c r="L7" s="202"/>
      <c r="M7" s="202"/>
      <c r="N7" s="202"/>
      <c r="O7" s="202"/>
      <c r="P7" s="547"/>
    </row>
    <row r="8" spans="1:16" ht="30" customHeight="1" x14ac:dyDescent="0.25">
      <c r="A8" s="509"/>
      <c r="B8" s="302"/>
      <c r="C8" s="1035"/>
      <c r="D8" s="1036"/>
      <c r="E8" s="1037"/>
      <c r="F8" s="662" t="s">
        <v>81</v>
      </c>
      <c r="G8" s="222" t="s">
        <v>81</v>
      </c>
      <c r="H8" s="222" t="s">
        <v>82</v>
      </c>
      <c r="I8" s="140" t="s">
        <v>82</v>
      </c>
      <c r="J8" s="238"/>
      <c r="K8" s="238"/>
      <c r="L8" s="202"/>
      <c r="M8" s="202"/>
      <c r="N8" s="202"/>
      <c r="O8" s="202"/>
      <c r="P8" s="547"/>
    </row>
    <row r="9" spans="1:16" ht="30.75" customHeight="1" thickBot="1" x14ac:dyDescent="0.3">
      <c r="A9" s="509"/>
      <c r="B9" s="302"/>
      <c r="C9" s="1038" t="s">
        <v>192</v>
      </c>
      <c r="D9" s="1039"/>
      <c r="E9" s="1040"/>
      <c r="F9" s="141">
        <f>IF($C$9="","",IF($C$9="Velg kategori","",VLOOKUP($C$9,key!$A$33:$B$35,2,FALSE)))</f>
        <v>0</v>
      </c>
      <c r="G9" s="141">
        <f>IF($C$9="","",IF($C$9="Velg kategori","",VLOOKUP($C$9,key!$C$33:$D$35,2,FALSE)))</f>
        <v>0</v>
      </c>
      <c r="H9" s="141">
        <f>IF($C$9="","",IF($C$9="Velg kategori","",VLOOKUP($C$9,key!$E$33:$F$35,2,FALSE)))</f>
        <v>0</v>
      </c>
      <c r="I9" s="142">
        <f>IF($C$9="","",IF($C$9="Velg kategori","",VLOOKUP($C$9,key!$G$33:$H$35,2,FALSE)))</f>
        <v>0</v>
      </c>
      <c r="J9" s="238"/>
      <c r="K9" s="238"/>
      <c r="L9" s="202"/>
      <c r="M9" s="202"/>
      <c r="N9" s="202"/>
      <c r="O9" s="202"/>
      <c r="P9" s="547"/>
    </row>
    <row r="10" spans="1:16" ht="22.5" customHeight="1" thickBot="1" x14ac:dyDescent="0.3">
      <c r="A10" s="509"/>
      <c r="B10" s="302"/>
      <c r="C10" s="1028"/>
      <c r="D10" s="1028"/>
      <c r="E10" s="300"/>
      <c r="F10" s="300"/>
      <c r="G10" s="300"/>
      <c r="H10" s="300"/>
      <c r="I10" s="303"/>
      <c r="J10" s="303"/>
      <c r="K10" s="303"/>
      <c r="L10" s="303"/>
      <c r="M10" s="303"/>
      <c r="N10" s="303"/>
      <c r="O10" s="303"/>
      <c r="P10" s="547"/>
    </row>
    <row r="11" spans="1:16" ht="60.75" customHeight="1" x14ac:dyDescent="0.25">
      <c r="A11" s="509"/>
      <c r="B11" s="302"/>
      <c r="C11" s="1024" t="s">
        <v>412</v>
      </c>
      <c r="D11" s="1025"/>
      <c r="E11" s="1025"/>
      <c r="F11" s="1025"/>
      <c r="G11" s="1025"/>
      <c r="H11" s="1025"/>
      <c r="I11" s="1026"/>
      <c r="J11" s="202"/>
      <c r="K11" s="202"/>
      <c r="L11" s="202"/>
      <c r="M11" s="202"/>
      <c r="N11" s="202"/>
      <c r="O11" s="202"/>
      <c r="P11" s="547"/>
    </row>
    <row r="12" spans="1:16" ht="30" customHeight="1" x14ac:dyDescent="0.25">
      <c r="A12" s="509"/>
      <c r="B12" s="302"/>
      <c r="C12" s="988" t="s">
        <v>238</v>
      </c>
      <c r="D12" s="989"/>
      <c r="E12" s="989"/>
      <c r="F12" s="989"/>
      <c r="G12" s="989"/>
      <c r="H12" s="640"/>
      <c r="I12" s="497" t="s">
        <v>78</v>
      </c>
      <c r="J12" s="202"/>
      <c r="K12" s="202"/>
      <c r="L12" s="202"/>
      <c r="M12" s="202"/>
      <c r="N12" s="202"/>
      <c r="O12" s="202"/>
      <c r="P12" s="547"/>
    </row>
    <row r="13" spans="1:16" ht="26.25" customHeight="1" x14ac:dyDescent="0.25">
      <c r="A13" s="509"/>
      <c r="B13" s="302"/>
      <c r="C13" s="988" t="s">
        <v>239</v>
      </c>
      <c r="D13" s="989"/>
      <c r="E13" s="989"/>
      <c r="F13" s="989"/>
      <c r="G13" s="989"/>
      <c r="H13" s="640"/>
      <c r="I13" s="402" t="s">
        <v>101</v>
      </c>
      <c r="J13" s="202"/>
      <c r="K13" s="202"/>
      <c r="L13" s="202"/>
      <c r="M13" s="202"/>
      <c r="N13" s="202"/>
      <c r="O13" s="202"/>
      <c r="P13" s="547"/>
    </row>
    <row r="14" spans="1:16" ht="24.75" customHeight="1" x14ac:dyDescent="0.25">
      <c r="A14" s="509"/>
      <c r="B14" s="302"/>
      <c r="C14" s="990" t="s">
        <v>305</v>
      </c>
      <c r="D14" s="991"/>
      <c r="E14" s="991"/>
      <c r="F14" s="991"/>
      <c r="G14" s="991"/>
      <c r="H14" s="640"/>
      <c r="I14" s="412" t="s">
        <v>101</v>
      </c>
      <c r="J14" s="202"/>
      <c r="K14" s="202"/>
      <c r="L14" s="202"/>
      <c r="M14" s="202"/>
      <c r="N14" s="202"/>
      <c r="O14" s="202"/>
      <c r="P14" s="547"/>
    </row>
    <row r="15" spans="1:16" ht="24.75" customHeight="1" x14ac:dyDescent="0.25">
      <c r="A15" s="509"/>
      <c r="B15" s="302"/>
      <c r="C15" s="990" t="s">
        <v>302</v>
      </c>
      <c r="D15" s="991"/>
      <c r="E15" s="991"/>
      <c r="F15" s="991"/>
      <c r="G15" s="991"/>
      <c r="H15" s="641"/>
      <c r="I15" s="412" t="s">
        <v>101</v>
      </c>
      <c r="J15" s="202"/>
      <c r="K15" s="202"/>
      <c r="L15" s="202"/>
      <c r="M15" s="202"/>
      <c r="N15" s="202"/>
      <c r="O15" s="202"/>
      <c r="P15" s="547"/>
    </row>
    <row r="16" spans="1:16" ht="25.5" customHeight="1" thickBot="1" x14ac:dyDescent="0.3">
      <c r="A16" s="509"/>
      <c r="B16" s="302"/>
      <c r="C16" s="992" t="s">
        <v>413</v>
      </c>
      <c r="D16" s="993"/>
      <c r="E16" s="993"/>
      <c r="F16" s="993"/>
      <c r="G16" s="993"/>
      <c r="H16" s="414"/>
      <c r="I16" s="411" t="s">
        <v>241</v>
      </c>
      <c r="J16" s="202"/>
      <c r="K16" s="202"/>
      <c r="L16" s="202"/>
      <c r="M16" s="202"/>
      <c r="N16" s="202"/>
      <c r="O16" s="202"/>
      <c r="P16" s="547"/>
    </row>
    <row r="17" spans="1:16" x14ac:dyDescent="0.25">
      <c r="A17" s="509"/>
      <c r="B17" s="302"/>
      <c r="C17" s="202"/>
      <c r="D17" s="202"/>
      <c r="E17" s="202"/>
      <c r="F17" s="202"/>
      <c r="G17" s="202"/>
      <c r="H17" s="202"/>
      <c r="I17" s="202"/>
      <c r="J17" s="202"/>
      <c r="K17" s="202"/>
      <c r="L17" s="202"/>
      <c r="M17" s="202"/>
      <c r="N17" s="202"/>
      <c r="O17" s="202"/>
      <c r="P17" s="547"/>
    </row>
    <row r="18" spans="1:16" ht="43.5" customHeight="1" thickBot="1" x14ac:dyDescent="0.3">
      <c r="A18" s="509"/>
      <c r="B18" s="302"/>
      <c r="C18" s="1041" t="s">
        <v>246</v>
      </c>
      <c r="D18" s="1041"/>
      <c r="E18" s="1041"/>
      <c r="F18" s="1041"/>
      <c r="G18" s="1041"/>
      <c r="H18" s="1041"/>
      <c r="I18" s="1041"/>
      <c r="J18" s="1041"/>
      <c r="K18" s="1041"/>
      <c r="L18" s="202"/>
      <c r="M18" s="202"/>
      <c r="N18" s="202"/>
      <c r="O18" s="202"/>
      <c r="P18" s="547"/>
    </row>
    <row r="19" spans="1:16" ht="14.1" customHeight="1" x14ac:dyDescent="0.25">
      <c r="A19" s="509"/>
      <c r="B19" s="302"/>
      <c r="C19" s="1047"/>
      <c r="D19" s="1053" t="s">
        <v>120</v>
      </c>
      <c r="E19" s="1054"/>
      <c r="F19" s="1054" t="s">
        <v>34</v>
      </c>
      <c r="G19" s="1057"/>
      <c r="H19" s="1042" t="s">
        <v>242</v>
      </c>
      <c r="I19" s="1042"/>
      <c r="J19" s="1042" t="s">
        <v>244</v>
      </c>
      <c r="K19" s="1043"/>
      <c r="L19" s="202"/>
      <c r="M19" s="202"/>
      <c r="N19" s="202"/>
      <c r="O19" s="202"/>
      <c r="P19" s="547"/>
    </row>
    <row r="20" spans="1:16" ht="14.1" customHeight="1" x14ac:dyDescent="0.25">
      <c r="A20" s="509"/>
      <c r="B20" s="302"/>
      <c r="C20" s="1048"/>
      <c r="D20" s="1055"/>
      <c r="E20" s="1056"/>
      <c r="F20" s="1056"/>
      <c r="G20" s="1058"/>
      <c r="H20" s="1046" t="s">
        <v>243</v>
      </c>
      <c r="I20" s="1046"/>
      <c r="J20" s="1046" t="s">
        <v>245</v>
      </c>
      <c r="K20" s="1059"/>
      <c r="L20" s="202"/>
      <c r="M20" s="202"/>
      <c r="N20" s="202"/>
      <c r="O20" s="202"/>
      <c r="P20" s="547"/>
    </row>
    <row r="21" spans="1:16" x14ac:dyDescent="0.25">
      <c r="A21" s="509"/>
      <c r="B21" s="302"/>
      <c r="C21" s="1048"/>
      <c r="D21" s="1052" t="s">
        <v>65</v>
      </c>
      <c r="E21" s="1051"/>
      <c r="F21" s="1051" t="s">
        <v>65</v>
      </c>
      <c r="G21" s="1051"/>
      <c r="H21" s="1051" t="s">
        <v>66</v>
      </c>
      <c r="I21" s="1051"/>
      <c r="J21" s="1051" t="s">
        <v>66</v>
      </c>
      <c r="K21" s="1060"/>
      <c r="L21" s="202"/>
      <c r="M21" s="202"/>
      <c r="N21" s="202"/>
      <c r="O21" s="202"/>
      <c r="P21" s="547"/>
    </row>
    <row r="22" spans="1:16" ht="15.75" thickBot="1" x14ac:dyDescent="0.3">
      <c r="A22" s="509"/>
      <c r="B22" s="302"/>
      <c r="C22" s="1049"/>
      <c r="D22" s="247" t="s">
        <v>97</v>
      </c>
      <c r="E22" s="248" t="s">
        <v>98</v>
      </c>
      <c r="F22" s="248" t="s">
        <v>97</v>
      </c>
      <c r="G22" s="248" t="s">
        <v>99</v>
      </c>
      <c r="H22" s="248" t="s">
        <v>97</v>
      </c>
      <c r="I22" s="248" t="s">
        <v>99</v>
      </c>
      <c r="J22" s="248" t="s">
        <v>97</v>
      </c>
      <c r="K22" s="249" t="s">
        <v>99</v>
      </c>
      <c r="L22" s="202"/>
      <c r="M22" s="202"/>
      <c r="N22" s="202"/>
      <c r="O22" s="202"/>
      <c r="P22" s="547"/>
    </row>
    <row r="23" spans="1:16" ht="15.75" thickBot="1" x14ac:dyDescent="0.3">
      <c r="A23" s="509"/>
      <c r="B23" s="302"/>
      <c r="C23" s="415" t="s">
        <v>301</v>
      </c>
      <c r="D23" s="416">
        <v>1</v>
      </c>
      <c r="E23" s="417">
        <v>1.5</v>
      </c>
      <c r="F23" s="418">
        <v>10</v>
      </c>
      <c r="G23" s="418">
        <v>15</v>
      </c>
      <c r="H23" s="419">
        <v>20</v>
      </c>
      <c r="I23" s="419">
        <v>30</v>
      </c>
      <c r="J23" s="419" t="s">
        <v>84</v>
      </c>
      <c r="K23" s="420" t="s">
        <v>85</v>
      </c>
      <c r="L23" s="202"/>
      <c r="M23" s="202"/>
      <c r="N23" s="202"/>
      <c r="O23" s="202"/>
      <c r="P23" s="547"/>
    </row>
    <row r="24" spans="1:16" x14ac:dyDescent="0.25">
      <c r="A24" s="509"/>
      <c r="B24" s="302"/>
      <c r="C24" s="1050"/>
      <c r="D24" s="1050"/>
      <c r="E24" s="1050"/>
      <c r="F24" s="1050"/>
      <c r="G24" s="1050"/>
      <c r="H24" s="1050"/>
      <c r="I24" s="1050"/>
      <c r="J24" s="1050"/>
      <c r="K24" s="1050"/>
      <c r="L24" s="202"/>
      <c r="M24" s="202"/>
      <c r="N24" s="202"/>
      <c r="O24" s="202"/>
      <c r="P24" s="547"/>
    </row>
    <row r="25" spans="1:16" ht="40.5" customHeight="1" thickBot="1" x14ac:dyDescent="0.3">
      <c r="A25" s="509"/>
      <c r="B25" s="302"/>
      <c r="C25" s="1041" t="s">
        <v>247</v>
      </c>
      <c r="D25" s="1041"/>
      <c r="E25" s="1041"/>
      <c r="F25" s="1041"/>
      <c r="G25" s="1041"/>
      <c r="H25" s="1041"/>
      <c r="I25" s="1041"/>
      <c r="J25" s="1041"/>
      <c r="K25" s="1041"/>
      <c r="L25" s="1041"/>
      <c r="M25" s="1041"/>
      <c r="N25" s="1041"/>
      <c r="O25" s="1041"/>
      <c r="P25" s="547"/>
    </row>
    <row r="26" spans="1:16" ht="19.5" customHeight="1" x14ac:dyDescent="0.25">
      <c r="A26" s="509"/>
      <c r="B26" s="302"/>
      <c r="C26" s="1061" t="s">
        <v>248</v>
      </c>
      <c r="D26" s="1081" t="s">
        <v>249</v>
      </c>
      <c r="E26" s="1044" t="s">
        <v>250</v>
      </c>
      <c r="F26" s="1044"/>
      <c r="G26" s="1064" t="s">
        <v>251</v>
      </c>
      <c r="H26" s="1065"/>
      <c r="I26" s="1066"/>
      <c r="J26" s="1088" t="s">
        <v>252</v>
      </c>
      <c r="K26" s="1089"/>
      <c r="L26" s="1089"/>
      <c r="M26" s="1089"/>
      <c r="N26" s="1089"/>
      <c r="O26" s="1090"/>
      <c r="P26" s="547"/>
    </row>
    <row r="27" spans="1:16" ht="21" customHeight="1" x14ac:dyDescent="0.25">
      <c r="A27" s="509"/>
      <c r="B27" s="302"/>
      <c r="C27" s="1062"/>
      <c r="D27" s="1082"/>
      <c r="E27" s="1045"/>
      <c r="F27" s="1045"/>
      <c r="G27" s="1067"/>
      <c r="H27" s="1068"/>
      <c r="I27" s="1069"/>
      <c r="J27" s="1091" t="s">
        <v>253</v>
      </c>
      <c r="K27" s="1092"/>
      <c r="L27" s="1092"/>
      <c r="M27" s="1092"/>
      <c r="N27" s="1092"/>
      <c r="O27" s="1093"/>
      <c r="P27" s="547"/>
    </row>
    <row r="28" spans="1:16" ht="18.75" thickBot="1" x14ac:dyDescent="0.3">
      <c r="A28" s="509"/>
      <c r="B28" s="302"/>
      <c r="C28" s="1063"/>
      <c r="D28" s="1083"/>
      <c r="E28" s="671" t="s">
        <v>397</v>
      </c>
      <c r="F28" s="254" t="s">
        <v>395</v>
      </c>
      <c r="G28" s="1070"/>
      <c r="H28" s="1071"/>
      <c r="I28" s="1072"/>
      <c r="J28" s="1096">
        <v>1</v>
      </c>
      <c r="K28" s="1087"/>
      <c r="L28" s="1087">
        <v>2</v>
      </c>
      <c r="M28" s="1087"/>
      <c r="N28" s="1094">
        <v>3</v>
      </c>
      <c r="O28" s="1095"/>
      <c r="P28" s="547"/>
    </row>
    <row r="29" spans="1:16" ht="37.35" customHeight="1" x14ac:dyDescent="0.25">
      <c r="A29" s="509"/>
      <c r="B29" s="302"/>
      <c r="C29" s="255" t="s">
        <v>254</v>
      </c>
      <c r="D29" s="389"/>
      <c r="E29" s="443">
        <v>0.1</v>
      </c>
      <c r="F29" s="256">
        <v>0.3</v>
      </c>
      <c r="G29" s="1084" t="s">
        <v>260</v>
      </c>
      <c r="H29" s="1085"/>
      <c r="I29" s="1086"/>
      <c r="J29" s="392"/>
      <c r="K29" s="443">
        <v>1</v>
      </c>
      <c r="L29" s="392"/>
      <c r="M29" s="443">
        <v>2</v>
      </c>
      <c r="N29" s="392"/>
      <c r="O29" s="195">
        <v>2.5</v>
      </c>
      <c r="P29" s="547"/>
    </row>
    <row r="30" spans="1:16" ht="35.1" customHeight="1" x14ac:dyDescent="0.25">
      <c r="A30" s="509"/>
      <c r="B30" s="302"/>
      <c r="C30" s="257" t="s">
        <v>255</v>
      </c>
      <c r="D30" s="390"/>
      <c r="E30" s="444">
        <v>0.3</v>
      </c>
      <c r="F30" s="258">
        <v>0.4</v>
      </c>
      <c r="G30" s="1074" t="s">
        <v>262</v>
      </c>
      <c r="H30" s="1075"/>
      <c r="I30" s="1076"/>
      <c r="J30" s="393"/>
      <c r="K30" s="444">
        <v>1</v>
      </c>
      <c r="L30" s="393"/>
      <c r="M30" s="444">
        <v>1.8</v>
      </c>
      <c r="N30" s="393"/>
      <c r="O30" s="186">
        <v>2</v>
      </c>
      <c r="P30" s="547"/>
    </row>
    <row r="31" spans="1:16" ht="41.1" customHeight="1" x14ac:dyDescent="0.25">
      <c r="A31" s="509"/>
      <c r="B31" s="302"/>
      <c r="C31" s="257" t="s">
        <v>256</v>
      </c>
      <c r="D31" s="390"/>
      <c r="E31" s="444">
        <v>0.5</v>
      </c>
      <c r="F31" s="258">
        <v>0.5</v>
      </c>
      <c r="G31" s="1074" t="s">
        <v>261</v>
      </c>
      <c r="H31" s="1075"/>
      <c r="I31" s="1076"/>
      <c r="J31" s="393"/>
      <c r="K31" s="444">
        <v>1</v>
      </c>
      <c r="L31" s="393"/>
      <c r="M31" s="444">
        <v>1.5</v>
      </c>
      <c r="N31" s="393"/>
      <c r="O31" s="186">
        <v>1.8</v>
      </c>
      <c r="P31" s="547"/>
    </row>
    <row r="32" spans="1:16" ht="35.1" customHeight="1" x14ac:dyDescent="0.25">
      <c r="A32" s="509"/>
      <c r="B32" s="302"/>
      <c r="C32" s="257" t="s">
        <v>257</v>
      </c>
      <c r="D32" s="390"/>
      <c r="E32" s="444">
        <v>0.7</v>
      </c>
      <c r="F32" s="258">
        <v>0.7</v>
      </c>
      <c r="G32" s="1074" t="s">
        <v>264</v>
      </c>
      <c r="H32" s="1075"/>
      <c r="I32" s="1076"/>
      <c r="J32" s="393"/>
      <c r="K32" s="444">
        <v>1</v>
      </c>
      <c r="L32" s="393"/>
      <c r="M32" s="444">
        <v>1.3</v>
      </c>
      <c r="N32" s="393"/>
      <c r="O32" s="186">
        <v>1.4</v>
      </c>
      <c r="P32" s="547"/>
    </row>
    <row r="33" spans="1:16" ht="35.1" customHeight="1" x14ac:dyDescent="0.25">
      <c r="A33" s="509"/>
      <c r="B33" s="302"/>
      <c r="C33" s="257" t="s">
        <v>258</v>
      </c>
      <c r="D33" s="390"/>
      <c r="E33" s="444">
        <v>0.9</v>
      </c>
      <c r="F33" s="258">
        <v>0.9</v>
      </c>
      <c r="G33" s="1074" t="s">
        <v>263</v>
      </c>
      <c r="H33" s="1075"/>
      <c r="I33" s="1076"/>
      <c r="J33" s="393"/>
      <c r="K33" s="444">
        <v>1</v>
      </c>
      <c r="L33" s="393"/>
      <c r="M33" s="444">
        <v>1.1000000000000001</v>
      </c>
      <c r="N33" s="393"/>
      <c r="O33" s="186">
        <v>1.1000000000000001</v>
      </c>
      <c r="P33" s="547"/>
    </row>
    <row r="34" spans="1:16" ht="36.75" customHeight="1" thickBot="1" x14ac:dyDescent="0.3">
      <c r="A34" s="509"/>
      <c r="B34" s="302"/>
      <c r="C34" s="259" t="s">
        <v>259</v>
      </c>
      <c r="D34" s="391"/>
      <c r="E34" s="445">
        <v>1</v>
      </c>
      <c r="F34" s="260">
        <v>1</v>
      </c>
      <c r="G34" s="1077" t="s">
        <v>265</v>
      </c>
      <c r="H34" s="1078"/>
      <c r="I34" s="1079"/>
      <c r="J34" s="394"/>
      <c r="K34" s="445">
        <v>1</v>
      </c>
      <c r="L34" s="394"/>
      <c r="M34" s="445">
        <v>1</v>
      </c>
      <c r="N34" s="394"/>
      <c r="O34" s="190">
        <v>1</v>
      </c>
      <c r="P34" s="547"/>
    </row>
    <row r="35" spans="1:16" x14ac:dyDescent="0.25">
      <c r="A35" s="509"/>
      <c r="B35" s="302"/>
      <c r="C35" s="1050" t="s">
        <v>415</v>
      </c>
      <c r="D35" s="1080"/>
      <c r="E35" s="1080"/>
      <c r="F35" s="1080"/>
      <c r="G35" s="1080"/>
      <c r="H35" s="1080"/>
      <c r="I35" s="1080"/>
      <c r="J35" s="202"/>
      <c r="K35" s="202"/>
      <c r="L35" s="202"/>
      <c r="M35" s="202"/>
      <c r="N35" s="202"/>
      <c r="O35" s="202"/>
      <c r="P35" s="547"/>
    </row>
    <row r="36" spans="1:16" x14ac:dyDescent="0.25">
      <c r="A36" s="509"/>
      <c r="B36" s="302"/>
      <c r="C36" s="238" t="s">
        <v>396</v>
      </c>
      <c r="D36" s="237"/>
      <c r="E36" s="237"/>
      <c r="F36" s="237"/>
      <c r="G36" s="237"/>
      <c r="H36" s="237"/>
      <c r="I36" s="237"/>
      <c r="J36" s="202"/>
      <c r="K36" s="202"/>
      <c r="L36" s="202"/>
      <c r="M36" s="202"/>
      <c r="N36" s="202"/>
      <c r="O36" s="202"/>
      <c r="P36" s="547"/>
    </row>
    <row r="37" spans="1:16" ht="21.75" customHeight="1" thickBot="1" x14ac:dyDescent="0.3">
      <c r="A37" s="509"/>
      <c r="B37" s="302"/>
      <c r="C37" s="237"/>
      <c r="D37" s="237"/>
      <c r="E37" s="237"/>
      <c r="F37" s="237"/>
      <c r="G37" s="237"/>
      <c r="H37" s="237"/>
      <c r="I37" s="237"/>
      <c r="J37" s="202"/>
      <c r="K37" s="202"/>
      <c r="L37" s="202"/>
      <c r="M37" s="202"/>
      <c r="N37" s="202"/>
      <c r="O37" s="202"/>
      <c r="P37" s="547"/>
    </row>
    <row r="38" spans="1:16" ht="40.5" customHeight="1" x14ac:dyDescent="0.25">
      <c r="A38" s="509"/>
      <c r="B38" s="302"/>
      <c r="C38" s="971" t="s">
        <v>380</v>
      </c>
      <c r="D38" s="972"/>
      <c r="E38" s="972"/>
      <c r="F38" s="972"/>
      <c r="G38" s="973"/>
      <c r="H38" s="292"/>
      <c r="I38" s="202"/>
      <c r="J38" s="202"/>
      <c r="K38" s="202"/>
      <c r="L38" s="202"/>
      <c r="M38" s="202"/>
      <c r="N38" s="202"/>
      <c r="O38" s="202"/>
      <c r="P38" s="547"/>
    </row>
    <row r="39" spans="1:16" ht="29.25" customHeight="1" x14ac:dyDescent="0.25">
      <c r="A39" s="509"/>
      <c r="B39" s="302"/>
      <c r="C39" s="969" t="s">
        <v>266</v>
      </c>
      <c r="D39" s="970"/>
      <c r="E39" s="970"/>
      <c r="F39" s="974" t="str">
        <f>IF(D29="Yes",E29,IF(D30="yes",E30,IF(D31="yes",E31,IF(D32="yes",E32,IF(D33="Yes",E33,IF(D34="Yes",E34,"Must enter a value!"))))))</f>
        <v>Must enter a value!</v>
      </c>
      <c r="G39" s="975"/>
      <c r="H39" s="301"/>
      <c r="I39" s="202"/>
      <c r="J39" s="202"/>
      <c r="K39" s="202"/>
      <c r="L39" s="202"/>
      <c r="M39" s="202"/>
      <c r="N39" s="202"/>
      <c r="O39" s="202"/>
      <c r="P39" s="547"/>
    </row>
    <row r="40" spans="1:16" ht="29.25" customHeight="1" x14ac:dyDescent="0.25">
      <c r="A40" s="509"/>
      <c r="B40" s="302"/>
      <c r="C40" s="969" t="s">
        <v>267</v>
      </c>
      <c r="D40" s="970"/>
      <c r="E40" s="970"/>
      <c r="F40" s="974" t="str">
        <f>IF(D29="yes",F29,IF(D30="yes",F30,IF(D31="yes",F31,IF(D32="yes",F32,IF(D33="yes",F33,IF(D34="yes",F34,"Must enter a value!"))))))</f>
        <v>Must enter a value!</v>
      </c>
      <c r="G40" s="975"/>
      <c r="H40" s="299"/>
      <c r="I40" s="202"/>
      <c r="J40" s="202"/>
      <c r="K40" s="202"/>
      <c r="L40" s="202"/>
      <c r="M40" s="202"/>
      <c r="N40" s="202"/>
      <c r="O40" s="202"/>
      <c r="P40" s="547"/>
    </row>
    <row r="41" spans="1:16" ht="29.25" customHeight="1" x14ac:dyDescent="0.25">
      <c r="A41" s="509"/>
      <c r="B41" s="302"/>
      <c r="C41" s="969" t="s">
        <v>268</v>
      </c>
      <c r="D41" s="970"/>
      <c r="E41" s="970"/>
      <c r="F41" s="998" t="str">
        <f>IF($J$29="yes",$K$29,IF($J$30="yes",$K$30,IF($J$31="yes",$K$31,IF($J$32="yes",$K$32,IF($J$33="yes",$K$33,IF($J$34="yes",$K$34,IF($L$29="yes",$M$29,IF($L$30="yes",$M$30,IF($L$31="yes",$M$31,IF($L$32="yes",$M$32,IF($L$33="yes",$M$33,IF($L$34="yes",$M$34,IF($N$29="yes",$O$29,IF($N$30="yes",$O$30,IF($N$31="yes",$O$31,IF($N$32="yes",$O$32,IF($N$33="yes",$O$33,IF($N$34="yes",$O$34,"Must enter a value!"))))))))))))))))))</f>
        <v>Must enter a value!</v>
      </c>
      <c r="G41" s="999"/>
      <c r="H41" s="202"/>
      <c r="I41" s="202"/>
      <c r="J41" s="202"/>
      <c r="K41" s="202"/>
      <c r="L41" s="202"/>
      <c r="M41" s="202"/>
      <c r="N41" s="202"/>
      <c r="O41" s="202"/>
      <c r="P41" s="547"/>
    </row>
    <row r="42" spans="1:16" ht="29.25" customHeight="1" x14ac:dyDescent="0.25">
      <c r="A42" s="509"/>
      <c r="B42" s="302"/>
      <c r="C42" s="969" t="s">
        <v>417</v>
      </c>
      <c r="D42" s="970"/>
      <c r="E42" s="970"/>
      <c r="F42" s="1102">
        <f>$H$16</f>
        <v>0</v>
      </c>
      <c r="G42" s="1103"/>
      <c r="H42" s="660"/>
      <c r="I42" s="202"/>
      <c r="J42" s="202"/>
      <c r="K42" s="202"/>
      <c r="L42" s="202"/>
      <c r="M42" s="202"/>
      <c r="N42" s="202"/>
      <c r="O42" s="202"/>
      <c r="P42" s="547"/>
    </row>
    <row r="43" spans="1:16" ht="29.25" customHeight="1" x14ac:dyDescent="0.25">
      <c r="A43" s="509"/>
      <c r="B43" s="302"/>
      <c r="C43" s="981" t="s">
        <v>269</v>
      </c>
      <c r="D43" s="982"/>
      <c r="E43" s="982"/>
      <c r="F43" s="1000" t="str">
        <f>IF($F$39="Must enter a value!","Chose mixing condition!",IF($F$41="Must enter a value!","Chose chambers in series",$F$39*$F$41*$F$42))</f>
        <v>Chose mixing condition!</v>
      </c>
      <c r="G43" s="1001"/>
      <c r="H43" s="498"/>
      <c r="I43" s="202"/>
      <c r="J43" s="202"/>
      <c r="K43" s="202"/>
      <c r="L43" s="202"/>
      <c r="M43" s="202"/>
      <c r="N43" s="202"/>
      <c r="O43" s="202"/>
      <c r="P43" s="547"/>
    </row>
    <row r="44" spans="1:16" ht="29.25" customHeight="1" thickBot="1" x14ac:dyDescent="0.3">
      <c r="A44" s="509"/>
      <c r="B44" s="302"/>
      <c r="C44" s="979" t="s">
        <v>270</v>
      </c>
      <c r="D44" s="980"/>
      <c r="E44" s="980"/>
      <c r="F44" s="1002" t="str">
        <f>IF($F$40="Must enter a value!","Chose mixing condition!",IF($F$41="Must eneter a value!","Chose chambers in series",$F$40*$F$41*$F$42))</f>
        <v>Chose mixing condition!</v>
      </c>
      <c r="G44" s="1003"/>
      <c r="H44" s="498"/>
      <c r="I44" s="202"/>
      <c r="J44" s="202"/>
      <c r="K44" s="202"/>
      <c r="L44" s="202"/>
      <c r="M44" s="202"/>
      <c r="N44" s="202"/>
      <c r="O44" s="202"/>
      <c r="P44" s="547"/>
    </row>
    <row r="45" spans="1:16" ht="21.75" customHeight="1" thickBot="1" x14ac:dyDescent="0.3">
      <c r="A45" s="509"/>
      <c r="B45" s="302"/>
      <c r="C45" s="560"/>
      <c r="D45" s="215"/>
      <c r="E45" s="215"/>
      <c r="F45" s="215"/>
      <c r="G45" s="215"/>
      <c r="H45" s="215"/>
      <c r="I45" s="215"/>
      <c r="J45" s="202"/>
      <c r="K45" s="202"/>
      <c r="L45" s="202"/>
      <c r="M45" s="202"/>
      <c r="N45" s="202"/>
      <c r="O45" s="202"/>
      <c r="P45" s="547"/>
    </row>
    <row r="46" spans="1:16" ht="42.75" customHeight="1" thickBot="1" x14ac:dyDescent="0.3">
      <c r="A46" s="509"/>
      <c r="B46" s="302"/>
      <c r="C46" s="983" t="s">
        <v>424</v>
      </c>
      <c r="D46" s="984"/>
      <c r="E46" s="984"/>
      <c r="F46" s="984"/>
      <c r="G46" s="985"/>
      <c r="H46" s="215"/>
      <c r="I46" s="215"/>
      <c r="J46" s="202"/>
      <c r="K46" s="202"/>
      <c r="L46" s="694"/>
      <c r="M46" s="202"/>
      <c r="N46" s="202"/>
      <c r="O46" s="202"/>
      <c r="P46" s="547"/>
    </row>
    <row r="47" spans="1:16" ht="54.95" customHeight="1" thickBot="1" x14ac:dyDescent="0.3">
      <c r="A47" s="509"/>
      <c r="B47" s="302"/>
      <c r="C47" s="1012" t="s">
        <v>271</v>
      </c>
      <c r="D47" s="1013"/>
      <c r="E47" s="1104" t="s">
        <v>427</v>
      </c>
      <c r="F47" s="1105"/>
      <c r="G47" s="1106"/>
      <c r="H47" s="202"/>
      <c r="I47" s="421"/>
      <c r="J47" s="202"/>
      <c r="K47" s="202"/>
      <c r="L47" s="202"/>
      <c r="M47" s="202"/>
      <c r="N47" s="202"/>
      <c r="O47" s="202"/>
      <c r="P47" s="547"/>
    </row>
    <row r="48" spans="1:16" s="245" customFormat="1" ht="17.25" customHeight="1" x14ac:dyDescent="0.25">
      <c r="A48" s="509"/>
      <c r="B48" s="303"/>
      <c r="C48" s="398" t="s">
        <v>418</v>
      </c>
      <c r="D48" s="399"/>
      <c r="E48" s="399"/>
      <c r="F48" s="399"/>
      <c r="G48" s="400"/>
      <c r="H48" s="202"/>
      <c r="I48" s="202"/>
      <c r="J48" s="202"/>
      <c r="K48" s="202"/>
      <c r="L48" s="202"/>
      <c r="M48" s="202"/>
      <c r="N48" s="202"/>
      <c r="O48" s="202"/>
      <c r="P48" s="602"/>
    </row>
    <row r="49" spans="1:16" s="245" customFormat="1" ht="23.25" customHeight="1" x14ac:dyDescent="0.25">
      <c r="A49" s="509"/>
      <c r="B49" s="303"/>
      <c r="C49" s="401" t="s">
        <v>272</v>
      </c>
      <c r="D49" s="397" t="s">
        <v>101</v>
      </c>
      <c r="E49" s="407" t="e">
        <f>IF(E47="through a combination of measurements and calculations (Cdose, Cout og TOC)",0.1*H12+0.61*H13^0.2+0.14*H13/H12-0.2/H13,IF(E47="by measurements (Cdose, Cin og Cout)",H13-(H14/EXP(-E51*F44)),IF(E47="through model calculation (Cdose, TOC)",0.1*H12+0.61*H13^0.2+0.14*H13/H12-0.2/H13,"")))</f>
        <v>#DIV/0!</v>
      </c>
      <c r="F49" s="397"/>
      <c r="G49" s="402"/>
      <c r="H49" s="202"/>
      <c r="I49" s="202"/>
      <c r="J49" s="202"/>
      <c r="K49" s="202"/>
      <c r="L49" s="202"/>
      <c r="M49" s="202"/>
      <c r="N49" s="202"/>
      <c r="O49" s="202"/>
      <c r="P49" s="602"/>
    </row>
    <row r="50" spans="1:16" s="245" customFormat="1" ht="23.25" customHeight="1" x14ac:dyDescent="0.25">
      <c r="A50" s="509"/>
      <c r="B50" s="303"/>
      <c r="C50" s="401" t="s">
        <v>273</v>
      </c>
      <c r="D50" s="397" t="s">
        <v>101</v>
      </c>
      <c r="E50" s="407" t="e">
        <f>IF((H13-E49)&lt;0,0,H13-E49)</f>
        <v>#DIV/0!</v>
      </c>
      <c r="F50" s="397"/>
      <c r="G50" s="402"/>
      <c r="H50" s="202"/>
      <c r="I50" s="202"/>
      <c r="J50" s="202"/>
      <c r="K50" s="202"/>
      <c r="L50" s="202"/>
      <c r="M50" s="202"/>
      <c r="N50" s="202"/>
      <c r="O50" s="202"/>
      <c r="P50" s="602"/>
    </row>
    <row r="51" spans="1:16" s="245" customFormat="1" ht="24" customHeight="1" x14ac:dyDescent="0.25">
      <c r="A51" s="509"/>
      <c r="B51" s="303"/>
      <c r="C51" s="401" t="s">
        <v>274</v>
      </c>
      <c r="D51" s="397"/>
      <c r="E51" s="407" t="e">
        <f>IF(E47="through a combination of measurements and calculations (Cdose, Cout og TOC)",-(LN(H14/E50))/F44,IF(E47="by measurements (Cdose, Cin og Cout)",-(LN(H14/H15))/F44,IF(E47="through model calculation (Cdose, TOC)",0.01*H12^0.5-0.02*E50+0.015,"")))</f>
        <v>#DIV/0!</v>
      </c>
      <c r="F51" s="397"/>
      <c r="G51" s="402"/>
      <c r="H51" s="202"/>
      <c r="I51" s="202"/>
      <c r="J51" s="202"/>
      <c r="K51" s="202"/>
      <c r="L51" s="202"/>
      <c r="M51" s="202"/>
      <c r="N51" s="202"/>
      <c r="O51" s="202"/>
      <c r="P51" s="602"/>
    </row>
    <row r="52" spans="1:16" s="245" customFormat="1" ht="34.5" customHeight="1" thickBot="1" x14ac:dyDescent="0.3">
      <c r="A52" s="509"/>
      <c r="B52" s="303"/>
      <c r="C52" s="403" t="s">
        <v>275</v>
      </c>
      <c r="D52" s="406" t="s">
        <v>100</v>
      </c>
      <c r="E52" s="405" t="e">
        <f>(E50/E51)*(1-EXP(-E51*F43))</f>
        <v>#DIV/0!</v>
      </c>
      <c r="F52" s="1006" t="s">
        <v>310</v>
      </c>
      <c r="G52" s="1007"/>
      <c r="H52" s="202"/>
      <c r="I52" s="202"/>
      <c r="J52" s="202"/>
      <c r="K52" s="202"/>
      <c r="L52" s="202"/>
      <c r="M52" s="202"/>
      <c r="N52" s="202"/>
      <c r="O52" s="202"/>
      <c r="P52" s="602"/>
    </row>
    <row r="53" spans="1:16" s="245" customFormat="1" ht="24" customHeight="1" x14ac:dyDescent="0.2">
      <c r="A53" s="509"/>
      <c r="B53" s="303"/>
      <c r="C53" s="426" t="s">
        <v>276</v>
      </c>
      <c r="D53" s="290"/>
      <c r="E53" s="424"/>
      <c r="F53" s="423"/>
      <c r="G53" s="423"/>
      <c r="H53" s="202"/>
      <c r="I53" s="202"/>
      <c r="J53" s="202"/>
      <c r="K53" s="202"/>
      <c r="L53" s="202"/>
      <c r="M53" s="202"/>
      <c r="N53" s="202"/>
      <c r="O53" s="202"/>
      <c r="P53" s="602"/>
    </row>
    <row r="54" spans="1:16" s="245" customFormat="1" ht="21" customHeight="1" x14ac:dyDescent="0.25">
      <c r="A54" s="509"/>
      <c r="B54" s="303"/>
      <c r="C54" s="695" t="s">
        <v>428</v>
      </c>
      <c r="D54" s="290"/>
      <c r="E54" s="424"/>
      <c r="F54" s="423"/>
      <c r="G54" s="423"/>
      <c r="H54" s="202"/>
      <c r="I54" s="202"/>
      <c r="J54" s="202"/>
      <c r="K54" s="202"/>
      <c r="L54" s="202"/>
      <c r="M54" s="202"/>
      <c r="N54" s="202"/>
      <c r="O54" s="202"/>
      <c r="P54" s="602"/>
    </row>
    <row r="55" spans="1:16" ht="26.25" customHeight="1" thickBot="1" x14ac:dyDescent="0.3">
      <c r="A55" s="509"/>
      <c r="B55" s="302"/>
      <c r="C55" s="290"/>
      <c r="D55" s="290"/>
      <c r="E55" s="290"/>
      <c r="F55" s="290"/>
      <c r="G55" s="290"/>
      <c r="H55" s="215"/>
      <c r="I55" s="202"/>
      <c r="J55" s="202"/>
      <c r="K55" s="202"/>
      <c r="L55" s="202"/>
      <c r="M55" s="202"/>
      <c r="N55" s="202"/>
      <c r="O55" s="202"/>
      <c r="P55" s="547"/>
    </row>
    <row r="56" spans="1:16" ht="33" customHeight="1" thickBot="1" x14ac:dyDescent="0.3">
      <c r="A56" s="509"/>
      <c r="B56" s="302"/>
      <c r="C56" s="963" t="s">
        <v>300</v>
      </c>
      <c r="D56" s="964"/>
      <c r="E56" s="964"/>
      <c r="F56" s="964"/>
      <c r="G56" s="964"/>
      <c r="H56" s="965"/>
      <c r="I56" s="202"/>
      <c r="J56" s="202"/>
      <c r="K56" s="302"/>
      <c r="L56" s="302"/>
      <c r="M56" s="302"/>
      <c r="N56" s="302"/>
      <c r="O56" s="302"/>
      <c r="P56" s="547"/>
    </row>
    <row r="57" spans="1:16" ht="37.5" customHeight="1" x14ac:dyDescent="0.25">
      <c r="A57" s="509"/>
      <c r="B57" s="302"/>
      <c r="C57" s="1100"/>
      <c r="D57" s="1101"/>
      <c r="E57" s="666" t="s">
        <v>120</v>
      </c>
      <c r="F57" s="507" t="s">
        <v>55</v>
      </c>
      <c r="G57" s="458" t="s">
        <v>80</v>
      </c>
      <c r="H57" s="459" t="s">
        <v>83</v>
      </c>
      <c r="I57" s="202"/>
      <c r="J57" s="202"/>
      <c r="K57" s="302"/>
      <c r="L57" s="302"/>
      <c r="M57" s="302"/>
      <c r="N57" s="302"/>
      <c r="O57" s="302"/>
      <c r="P57" s="547"/>
    </row>
    <row r="58" spans="1:16" ht="39.950000000000003" customHeight="1" x14ac:dyDescent="0.25">
      <c r="A58" s="509"/>
      <c r="B58" s="302"/>
      <c r="C58" s="988" t="s">
        <v>278</v>
      </c>
      <c r="D58" s="989"/>
      <c r="E58" s="665">
        <v>4</v>
      </c>
      <c r="F58" s="407">
        <v>4</v>
      </c>
      <c r="G58" s="407">
        <v>3</v>
      </c>
      <c r="H58" s="479">
        <v>3</v>
      </c>
      <c r="I58" s="202"/>
      <c r="J58" s="202"/>
      <c r="K58" s="302"/>
      <c r="L58" s="302"/>
      <c r="M58" s="302"/>
      <c r="N58" s="302"/>
      <c r="O58" s="302"/>
      <c r="P58" s="547"/>
    </row>
    <row r="59" spans="1:16" ht="39.950000000000003" customHeight="1" x14ac:dyDescent="0.25">
      <c r="A59" s="509"/>
      <c r="B59" s="302"/>
      <c r="C59" s="986" t="s">
        <v>311</v>
      </c>
      <c r="D59" s="987"/>
      <c r="E59" s="407">
        <f>IF($F$9=0,0,3*$E$52/$F$9)</f>
        <v>0</v>
      </c>
      <c r="F59" s="407">
        <f>IF($G$9=0,0,3*$E$52/$G$9)</f>
        <v>0</v>
      </c>
      <c r="G59" s="407">
        <f>IF($H$9=0,0,2*$E$52/$H$9)</f>
        <v>0</v>
      </c>
      <c r="H59" s="479">
        <f>IF($I$9=0,0,2*$E$52/$I$9)</f>
        <v>0</v>
      </c>
      <c r="I59" s="202"/>
      <c r="J59" s="202"/>
      <c r="K59" s="202"/>
      <c r="L59" s="202"/>
      <c r="M59" s="202"/>
      <c r="N59" s="202"/>
      <c r="O59" s="202"/>
      <c r="P59" s="547"/>
    </row>
    <row r="60" spans="1:16" ht="39.950000000000003" customHeight="1" thickBot="1" x14ac:dyDescent="0.3">
      <c r="A60" s="509"/>
      <c r="B60" s="302"/>
      <c r="C60" s="1008" t="s">
        <v>279</v>
      </c>
      <c r="D60" s="1009"/>
      <c r="E60" s="405">
        <f>IF(E59&lt;4,E59,4)</f>
        <v>0</v>
      </c>
      <c r="F60" s="405">
        <f t="shared" ref="F60" si="0">IF(F59&lt;4,F59,4)</f>
        <v>0</v>
      </c>
      <c r="G60" s="405">
        <f>IF(G59&lt;3,G59,3)</f>
        <v>0</v>
      </c>
      <c r="H60" s="478">
        <f>IF(H59&lt;3,H59,3)</f>
        <v>0</v>
      </c>
      <c r="I60" s="472"/>
      <c r="J60" s="136"/>
      <c r="K60" s="136"/>
      <c r="L60" s="136"/>
      <c r="M60" s="136"/>
      <c r="N60" s="136"/>
      <c r="O60" s="136"/>
      <c r="P60" s="547"/>
    </row>
    <row r="61" spans="1:16" ht="23.25" customHeight="1" thickBot="1" x14ac:dyDescent="0.3">
      <c r="A61" s="509"/>
      <c r="B61" s="302"/>
      <c r="C61" s="470"/>
      <c r="D61" s="470"/>
      <c r="E61" s="471"/>
      <c r="F61" s="422"/>
      <c r="G61" s="471"/>
      <c r="H61" s="202"/>
      <c r="I61" s="136"/>
      <c r="J61" s="136"/>
      <c r="K61" s="136"/>
      <c r="L61" s="136"/>
      <c r="M61" s="136"/>
      <c r="N61" s="136"/>
      <c r="O61" s="136"/>
      <c r="P61" s="547"/>
    </row>
    <row r="62" spans="1:16" ht="48" customHeight="1" thickBot="1" x14ac:dyDescent="0.3">
      <c r="A62" s="509"/>
      <c r="B62" s="966" t="s">
        <v>419</v>
      </c>
      <c r="C62" s="967"/>
      <c r="D62" s="967"/>
      <c r="E62" s="967"/>
      <c r="F62" s="967"/>
      <c r="G62" s="967"/>
      <c r="H62" s="967"/>
      <c r="I62" s="967"/>
      <c r="J62" s="968"/>
      <c r="K62" s="302"/>
      <c r="L62" s="302"/>
      <c r="M62" s="302"/>
      <c r="N62" s="302"/>
      <c r="O62" s="302"/>
      <c r="P62" s="547"/>
    </row>
    <row r="63" spans="1:16" ht="23.25" customHeight="1" thickBot="1" x14ac:dyDescent="0.3">
      <c r="A63" s="509"/>
      <c r="B63" s="302"/>
      <c r="C63" s="302"/>
      <c r="D63" s="302"/>
      <c r="E63" s="302"/>
      <c r="F63" s="302"/>
      <c r="G63" s="302"/>
      <c r="H63" s="302"/>
      <c r="I63" s="302"/>
      <c r="J63" s="302"/>
      <c r="K63" s="302"/>
      <c r="L63" s="302"/>
      <c r="M63" s="302"/>
      <c r="N63" s="302"/>
      <c r="O63" s="302"/>
      <c r="P63" s="547"/>
    </row>
    <row r="64" spans="1:16" ht="45" x14ac:dyDescent="0.25">
      <c r="A64" s="509"/>
      <c r="B64" s="294" t="s">
        <v>12</v>
      </c>
      <c r="C64" s="408" t="s">
        <v>420</v>
      </c>
      <c r="D64" s="295" t="s">
        <v>284</v>
      </c>
      <c r="E64" s="372" t="s">
        <v>128</v>
      </c>
      <c r="F64" s="296" t="s">
        <v>283</v>
      </c>
      <c r="G64" s="643" t="s">
        <v>120</v>
      </c>
      <c r="H64" s="637" t="s">
        <v>55</v>
      </c>
      <c r="I64" s="631" t="s">
        <v>80</v>
      </c>
      <c r="J64" s="211" t="s">
        <v>379</v>
      </c>
      <c r="K64" s="132"/>
      <c r="L64" s="302"/>
      <c r="M64" s="302"/>
      <c r="N64" s="302"/>
      <c r="O64" s="302"/>
      <c r="P64" s="547"/>
    </row>
    <row r="65" spans="1:16" ht="39.950000000000003" customHeight="1" x14ac:dyDescent="0.25">
      <c r="A65" s="509"/>
      <c r="B65" s="632"/>
      <c r="C65" s="667" t="s">
        <v>291</v>
      </c>
      <c r="D65" s="267">
        <v>0.1</v>
      </c>
      <c r="E65" s="268"/>
      <c r="F65" s="634"/>
      <c r="G65" s="168">
        <f>-D65*E60</f>
        <v>0</v>
      </c>
      <c r="H65" s="635">
        <f>-D65*F60</f>
        <v>0</v>
      </c>
      <c r="I65" s="168">
        <f>-G60*$D$65</f>
        <v>0</v>
      </c>
      <c r="J65" s="636">
        <f>-H60*$D$65</f>
        <v>0</v>
      </c>
      <c r="K65" s="302"/>
      <c r="L65" s="302"/>
      <c r="M65" s="302"/>
      <c r="N65" s="302"/>
      <c r="O65" s="302"/>
      <c r="P65" s="547"/>
    </row>
    <row r="66" spans="1:16" ht="39.950000000000003" customHeight="1" x14ac:dyDescent="0.25">
      <c r="A66" s="509"/>
      <c r="B66" s="265" t="s">
        <v>13</v>
      </c>
      <c r="C66" s="266" t="s">
        <v>281</v>
      </c>
      <c r="D66" s="267">
        <v>0.1</v>
      </c>
      <c r="E66" s="376" t="s">
        <v>130</v>
      </c>
      <c r="F66" s="203">
        <f>IF(E66="no",0,D66)</f>
        <v>0</v>
      </c>
      <c r="G66" s="270">
        <f>E60*$F$66</f>
        <v>0</v>
      </c>
      <c r="H66" s="463">
        <f>F60*$F$66</f>
        <v>0</v>
      </c>
      <c r="I66" s="159">
        <f>G60*$F$66</f>
        <v>0</v>
      </c>
      <c r="J66" s="464">
        <f>H60*$F$66</f>
        <v>0</v>
      </c>
      <c r="K66" s="302"/>
      <c r="L66" s="302"/>
      <c r="M66" s="302"/>
      <c r="N66" s="302"/>
      <c r="O66" s="302"/>
      <c r="P66" s="547"/>
    </row>
    <row r="67" spans="1:16" ht="39.950000000000003" customHeight="1" x14ac:dyDescent="0.25">
      <c r="A67" s="509"/>
      <c r="B67" s="265" t="s">
        <v>14</v>
      </c>
      <c r="C67" s="266" t="s">
        <v>282</v>
      </c>
      <c r="D67" s="267">
        <v>0.05</v>
      </c>
      <c r="E67" s="376" t="s">
        <v>130</v>
      </c>
      <c r="F67" s="203">
        <f>IF(E67="no",0,D67)</f>
        <v>0</v>
      </c>
      <c r="G67" s="270">
        <f>E60*$F$67</f>
        <v>0</v>
      </c>
      <c r="H67" s="463">
        <f>F60*$F$67</f>
        <v>0</v>
      </c>
      <c r="I67" s="159">
        <f>G60*$F$67</f>
        <v>0</v>
      </c>
      <c r="J67" s="464">
        <f>H60*$F$67</f>
        <v>0</v>
      </c>
      <c r="K67" s="302"/>
      <c r="L67" s="302"/>
      <c r="M67" s="302"/>
      <c r="N67" s="302"/>
      <c r="O67" s="302"/>
      <c r="P67" s="547"/>
    </row>
    <row r="68" spans="1:16" ht="39.950000000000003" customHeight="1" thickBot="1" x14ac:dyDescent="0.3">
      <c r="A68" s="509"/>
      <c r="B68" s="1004" t="s">
        <v>288</v>
      </c>
      <c r="C68" s="1005"/>
      <c r="D68" s="271"/>
      <c r="E68" s="272"/>
      <c r="F68" s="273"/>
      <c r="G68" s="274">
        <f>IF(F66+F67&gt;10%,0,G65+G66+G67)</f>
        <v>0</v>
      </c>
      <c r="H68" s="466">
        <f>IF(F66+F67&gt;10%,0,H65+H66+H67)</f>
        <v>0</v>
      </c>
      <c r="I68" s="274">
        <f>IF(F66+F67&gt;10%,0,I65+I66+I67)</f>
        <v>0</v>
      </c>
      <c r="J68" s="469">
        <f>IF(F66+F67&gt;10%,0,J65+J66+J67)</f>
        <v>0</v>
      </c>
      <c r="K68" s="302"/>
      <c r="L68" s="302"/>
      <c r="M68" s="302"/>
      <c r="N68" s="302"/>
      <c r="O68" s="302"/>
      <c r="P68" s="547"/>
    </row>
    <row r="69" spans="1:16" ht="15.75" thickBot="1" x14ac:dyDescent="0.3">
      <c r="A69" s="509"/>
      <c r="B69" s="202"/>
      <c r="C69" s="291"/>
      <c r="D69" s="291"/>
      <c r="E69" s="215"/>
      <c r="F69" s="276"/>
      <c r="G69" s="202"/>
      <c r="H69" s="202"/>
      <c r="I69" s="202"/>
      <c r="J69" s="302"/>
      <c r="K69" s="302"/>
      <c r="L69" s="302"/>
      <c r="M69" s="302"/>
      <c r="N69" s="302"/>
      <c r="O69" s="302"/>
      <c r="P69" s="547"/>
    </row>
    <row r="70" spans="1:16" ht="45" x14ac:dyDescent="0.25">
      <c r="A70" s="509"/>
      <c r="B70" s="294" t="s">
        <v>15</v>
      </c>
      <c r="C70" s="298" t="s">
        <v>285</v>
      </c>
      <c r="D70" s="295" t="str">
        <f>D64</f>
        <v>% of the Ct-calculated Log-reduction</v>
      </c>
      <c r="E70" s="372" t="s">
        <v>128</v>
      </c>
      <c r="F70" s="296" t="str">
        <f>F64</f>
        <v>Influence on log reduction</v>
      </c>
      <c r="G70" s="643" t="s">
        <v>120</v>
      </c>
      <c r="H70" s="297" t="s">
        <v>55</v>
      </c>
      <c r="I70" s="628" t="s">
        <v>80</v>
      </c>
      <c r="J70" s="211" t="s">
        <v>379</v>
      </c>
      <c r="K70" s="302"/>
      <c r="L70" s="302"/>
      <c r="M70" s="302"/>
      <c r="N70" s="302"/>
      <c r="O70" s="302"/>
      <c r="P70" s="547"/>
    </row>
    <row r="71" spans="1:16" ht="39.950000000000003" customHeight="1" x14ac:dyDescent="0.25">
      <c r="A71" s="509"/>
      <c r="B71" s="265"/>
      <c r="C71" s="667" t="s">
        <v>291</v>
      </c>
      <c r="D71" s="267">
        <v>0.15</v>
      </c>
      <c r="E71" s="269"/>
      <c r="F71" s="269"/>
      <c r="G71" s="159">
        <f>-$D$71*$E$60</f>
        <v>0</v>
      </c>
      <c r="H71" s="462">
        <f>-$D$71*$F$60</f>
        <v>0</v>
      </c>
      <c r="I71" s="159">
        <f>-$D$71*$G$60</f>
        <v>0</v>
      </c>
      <c r="J71" s="627">
        <f>-$D$71*$H$60</f>
        <v>0</v>
      </c>
      <c r="K71" s="302"/>
      <c r="L71" s="302"/>
      <c r="M71" s="302"/>
      <c r="N71" s="302"/>
      <c r="O71" s="302"/>
      <c r="P71" s="547"/>
    </row>
    <row r="72" spans="1:16" ht="39.950000000000003" customHeight="1" x14ac:dyDescent="0.25">
      <c r="A72" s="509"/>
      <c r="B72" s="265" t="s">
        <v>16</v>
      </c>
      <c r="C72" s="266" t="s">
        <v>286</v>
      </c>
      <c r="D72" s="267">
        <v>0.1</v>
      </c>
      <c r="E72" s="376" t="s">
        <v>130</v>
      </c>
      <c r="F72" s="203">
        <f>IF(E72="no",0,D72)</f>
        <v>0</v>
      </c>
      <c r="G72" s="159">
        <f>E60*$F$72</f>
        <v>0</v>
      </c>
      <c r="H72" s="462">
        <f>F60*$F$72</f>
        <v>0</v>
      </c>
      <c r="I72" s="159">
        <f>G60*$F$72</f>
        <v>0</v>
      </c>
      <c r="J72" s="627">
        <f>H60*$F$72</f>
        <v>0</v>
      </c>
      <c r="K72" s="302"/>
      <c r="L72" s="302"/>
      <c r="M72" s="302"/>
      <c r="N72" s="302"/>
      <c r="O72" s="302"/>
      <c r="P72" s="547"/>
    </row>
    <row r="73" spans="1:16" ht="39.950000000000003" customHeight="1" x14ac:dyDescent="0.25">
      <c r="A73" s="509"/>
      <c r="B73" s="265" t="s">
        <v>17</v>
      </c>
      <c r="C73" s="266" t="s">
        <v>421</v>
      </c>
      <c r="D73" s="267">
        <v>0.05</v>
      </c>
      <c r="E73" s="376" t="s">
        <v>130</v>
      </c>
      <c r="F73" s="203">
        <f>IF(E73="no",0,D73)</f>
        <v>0</v>
      </c>
      <c r="G73" s="159">
        <f>E60*$F$73</f>
        <v>0</v>
      </c>
      <c r="H73" s="462">
        <f>F60*$F$73</f>
        <v>0</v>
      </c>
      <c r="I73" s="159">
        <f>G60*$F$73</f>
        <v>0</v>
      </c>
      <c r="J73" s="627">
        <f>H60*$F$73</f>
        <v>0</v>
      </c>
      <c r="K73" s="302"/>
      <c r="L73" s="302"/>
      <c r="M73" s="302"/>
      <c r="N73" s="302"/>
      <c r="O73" s="302"/>
      <c r="P73" s="547"/>
    </row>
    <row r="74" spans="1:16" ht="100.5" customHeight="1" x14ac:dyDescent="0.25">
      <c r="A74" s="509"/>
      <c r="B74" s="265" t="s">
        <v>18</v>
      </c>
      <c r="C74" s="266" t="s">
        <v>287</v>
      </c>
      <c r="D74" s="267">
        <v>0.1</v>
      </c>
      <c r="E74" s="376" t="s">
        <v>130</v>
      </c>
      <c r="F74" s="203">
        <f>IF(E74="no",0,D74)</f>
        <v>0</v>
      </c>
      <c r="G74" s="159">
        <f>E60*$F$74</f>
        <v>0</v>
      </c>
      <c r="H74" s="462">
        <f>F60*$F$74</f>
        <v>0</v>
      </c>
      <c r="I74" s="159">
        <f>G60*$F$74</f>
        <v>0</v>
      </c>
      <c r="J74" s="627">
        <f>H60*$F$74</f>
        <v>0</v>
      </c>
      <c r="K74" s="302"/>
      <c r="L74" s="302"/>
      <c r="M74" s="302"/>
      <c r="N74" s="302"/>
      <c r="O74" s="302"/>
      <c r="P74" s="547"/>
    </row>
    <row r="75" spans="1:16" ht="30.75" customHeight="1" thickBot="1" x14ac:dyDescent="0.3">
      <c r="A75" s="509"/>
      <c r="B75" s="1004" t="s">
        <v>289</v>
      </c>
      <c r="C75" s="1005"/>
      <c r="D75" s="277"/>
      <c r="E75" s="277"/>
      <c r="F75" s="278"/>
      <c r="G75" s="279">
        <f>IF(SUM(G71:G74)&gt;0,"0.00",SUM(G71:G74))</f>
        <v>0</v>
      </c>
      <c r="H75" s="279">
        <f>IF(SUM(H71:H74)&gt;0,"0.00",SUM(H71:H74))</f>
        <v>0</v>
      </c>
      <c r="I75" s="473">
        <f>IF(SUM(I71:I74)&gt;0,"0.00",SUM(I71:I74))</f>
        <v>0</v>
      </c>
      <c r="J75" s="630">
        <f>IF(SUM(J71:J74)&gt;0,"0.00",SUM(J71:J74))</f>
        <v>0</v>
      </c>
      <c r="K75" s="302"/>
      <c r="L75" s="302"/>
      <c r="M75" s="302"/>
      <c r="N75" s="302"/>
      <c r="O75" s="302"/>
      <c r="P75" s="547"/>
    </row>
    <row r="76" spans="1:16" ht="15.75" thickBot="1" x14ac:dyDescent="0.3">
      <c r="A76" s="509"/>
      <c r="B76" s="280"/>
      <c r="C76" s="291"/>
      <c r="D76" s="291"/>
      <c r="E76" s="291"/>
      <c r="F76" s="291"/>
      <c r="G76" s="281"/>
      <c r="H76" s="281"/>
      <c r="I76" s="281"/>
      <c r="J76" s="302"/>
      <c r="K76" s="302"/>
      <c r="L76" s="302"/>
      <c r="M76" s="302"/>
      <c r="N76" s="302"/>
      <c r="O76" s="302"/>
      <c r="P76" s="547"/>
    </row>
    <row r="77" spans="1:16" ht="45" x14ac:dyDescent="0.25">
      <c r="A77" s="509"/>
      <c r="B77" s="294" t="s">
        <v>19</v>
      </c>
      <c r="C77" s="298" t="s">
        <v>294</v>
      </c>
      <c r="D77" s="296" t="str">
        <f>D64</f>
        <v>% of the Ct-calculated Log-reduction</v>
      </c>
      <c r="E77" s="372" t="s">
        <v>128</v>
      </c>
      <c r="F77" s="296" t="str">
        <f>F64</f>
        <v>Influence on log reduction</v>
      </c>
      <c r="G77" s="643" t="s">
        <v>120</v>
      </c>
      <c r="H77" s="297" t="s">
        <v>55</v>
      </c>
      <c r="I77" s="628" t="s">
        <v>80</v>
      </c>
      <c r="J77" s="211" t="s">
        <v>379</v>
      </c>
      <c r="K77" s="302"/>
      <c r="L77" s="302"/>
      <c r="M77" s="302"/>
      <c r="N77" s="302"/>
      <c r="O77" s="302"/>
      <c r="P77" s="547"/>
    </row>
    <row r="78" spans="1:16" ht="39.950000000000003" customHeight="1" x14ac:dyDescent="0.25">
      <c r="A78" s="509"/>
      <c r="B78" s="265"/>
      <c r="C78" s="667" t="s">
        <v>291</v>
      </c>
      <c r="D78" s="267">
        <v>0.1</v>
      </c>
      <c r="E78" s="267"/>
      <c r="F78" s="267"/>
      <c r="G78" s="159">
        <f>-$D$78*$E$60</f>
        <v>0</v>
      </c>
      <c r="H78" s="159">
        <f>-$D$78*$F$60</f>
        <v>0</v>
      </c>
      <c r="I78" s="159">
        <f>-$D$78*$G$60</f>
        <v>0</v>
      </c>
      <c r="J78" s="627">
        <f>-$D$78*$H$60</f>
        <v>0</v>
      </c>
      <c r="K78" s="302"/>
      <c r="L78" s="302"/>
      <c r="M78" s="302"/>
      <c r="N78" s="302"/>
      <c r="O78" s="302"/>
      <c r="P78" s="547"/>
    </row>
    <row r="79" spans="1:16" ht="39.950000000000003" customHeight="1" x14ac:dyDescent="0.25">
      <c r="A79" s="509"/>
      <c r="B79" s="265" t="s">
        <v>20</v>
      </c>
      <c r="C79" s="266" t="s">
        <v>292</v>
      </c>
      <c r="D79" s="267">
        <v>0.05</v>
      </c>
      <c r="E79" s="376" t="s">
        <v>130</v>
      </c>
      <c r="F79" s="203">
        <f>IF(E79="no",0,D79)</f>
        <v>0</v>
      </c>
      <c r="G79" s="159">
        <f>E60*$F$79</f>
        <v>0</v>
      </c>
      <c r="H79" s="159">
        <f>F60*$F$79</f>
        <v>0</v>
      </c>
      <c r="I79" s="159">
        <f>G60*$F$79</f>
        <v>0</v>
      </c>
      <c r="J79" s="627">
        <f>H60*$F$79</f>
        <v>0</v>
      </c>
      <c r="K79" s="302"/>
      <c r="L79" s="302"/>
      <c r="M79" s="302"/>
      <c r="N79" s="302"/>
      <c r="O79" s="302"/>
      <c r="P79" s="547"/>
    </row>
    <row r="80" spans="1:16" ht="39.950000000000003" customHeight="1" x14ac:dyDescent="0.25">
      <c r="A80" s="509"/>
      <c r="B80" s="265" t="s">
        <v>21</v>
      </c>
      <c r="C80" s="266" t="s">
        <v>422</v>
      </c>
      <c r="D80" s="267">
        <v>0.05</v>
      </c>
      <c r="E80" s="376" t="s">
        <v>130</v>
      </c>
      <c r="F80" s="203">
        <f>IF(E80="no",0,D80)</f>
        <v>0</v>
      </c>
      <c r="G80" s="159">
        <f>E60*$F$80</f>
        <v>0</v>
      </c>
      <c r="H80" s="159">
        <f>F60*$F$80</f>
        <v>0</v>
      </c>
      <c r="I80" s="159">
        <f>G60*$F$80</f>
        <v>0</v>
      </c>
      <c r="J80" s="627">
        <f>H60*$F$80</f>
        <v>0</v>
      </c>
      <c r="K80" s="302"/>
      <c r="L80" s="302"/>
      <c r="M80" s="302"/>
      <c r="N80" s="302"/>
      <c r="O80" s="302"/>
      <c r="P80" s="547"/>
    </row>
    <row r="81" spans="1:16" ht="78" customHeight="1" x14ac:dyDescent="0.25">
      <c r="A81" s="509"/>
      <c r="B81" s="265" t="s">
        <v>22</v>
      </c>
      <c r="C81" s="266" t="s">
        <v>293</v>
      </c>
      <c r="D81" s="267">
        <v>0.05</v>
      </c>
      <c r="E81" s="376" t="s">
        <v>130</v>
      </c>
      <c r="F81" s="203">
        <f>IF(E81="no",0,D81)</f>
        <v>0</v>
      </c>
      <c r="G81" s="159">
        <f>E60*$F$81</f>
        <v>0</v>
      </c>
      <c r="H81" s="159">
        <f>F60*$F$81</f>
        <v>0</v>
      </c>
      <c r="I81" s="159">
        <f>G60*$F$81</f>
        <v>0</v>
      </c>
      <c r="J81" s="627">
        <f>H60*$F$81</f>
        <v>0</v>
      </c>
      <c r="K81" s="302"/>
      <c r="L81" s="302"/>
      <c r="M81" s="302"/>
      <c r="N81" s="302"/>
      <c r="O81" s="302"/>
      <c r="P81" s="547"/>
    </row>
    <row r="82" spans="1:16" ht="31.5" customHeight="1" thickBot="1" x14ac:dyDescent="0.3">
      <c r="A82" s="509"/>
      <c r="B82" s="1004" t="s">
        <v>290</v>
      </c>
      <c r="C82" s="1005"/>
      <c r="D82" s="282"/>
      <c r="E82" s="282"/>
      <c r="F82" s="283"/>
      <c r="G82" s="279">
        <f>IF(SUM(G78:G81)&gt;0,"0.00",SUM(G78:G81))</f>
        <v>0</v>
      </c>
      <c r="H82" s="279">
        <f>IF(SUM(H78:H81)&gt;0,"0.00",SUM(H78:H81))</f>
        <v>0</v>
      </c>
      <c r="I82" s="279">
        <f>IF(SUM(I78:I81)&gt;0,"0.00",SUM(I78:I81))</f>
        <v>0</v>
      </c>
      <c r="J82" s="630">
        <f>IF(SUM(J78:J81)&gt;0,"0.00",SUM(J78:J81))</f>
        <v>0</v>
      </c>
      <c r="K82" s="302"/>
      <c r="L82" s="302"/>
      <c r="M82" s="302"/>
      <c r="N82" s="302"/>
      <c r="O82" s="302"/>
      <c r="P82" s="547"/>
    </row>
    <row r="83" spans="1:16" ht="15.75" thickBot="1" x14ac:dyDescent="0.3">
      <c r="A83" s="509"/>
      <c r="B83" s="202"/>
      <c r="C83" s="202"/>
      <c r="D83" s="202"/>
      <c r="E83" s="202"/>
      <c r="F83" s="202"/>
      <c r="G83" s="202"/>
      <c r="H83" s="202"/>
      <c r="I83" s="202"/>
      <c r="J83" s="302"/>
      <c r="K83" s="302"/>
      <c r="L83" s="302"/>
      <c r="M83" s="302"/>
      <c r="N83" s="302"/>
      <c r="O83" s="302"/>
      <c r="P83" s="547"/>
    </row>
    <row r="84" spans="1:16" ht="36.75" customHeight="1" x14ac:dyDescent="0.25">
      <c r="A84" s="509"/>
      <c r="B84" s="996" t="s">
        <v>374</v>
      </c>
      <c r="C84" s="997"/>
      <c r="D84" s="997"/>
      <c r="E84" s="997"/>
      <c r="F84" s="997"/>
      <c r="G84" s="643" t="s">
        <v>120</v>
      </c>
      <c r="H84" s="297" t="s">
        <v>55</v>
      </c>
      <c r="I84" s="628" t="s">
        <v>80</v>
      </c>
      <c r="J84" s="211" t="s">
        <v>379</v>
      </c>
      <c r="K84" s="302"/>
      <c r="L84" s="302"/>
      <c r="M84" s="302"/>
      <c r="N84" s="302"/>
      <c r="O84" s="302"/>
      <c r="P84" s="547"/>
    </row>
    <row r="85" spans="1:16" ht="39.950000000000003" customHeight="1" x14ac:dyDescent="0.25">
      <c r="A85" s="509"/>
      <c r="B85" s="1014" t="s">
        <v>296</v>
      </c>
      <c r="C85" s="1015"/>
      <c r="D85" s="1015"/>
      <c r="E85" s="1015"/>
      <c r="F85" s="1016"/>
      <c r="G85" s="409">
        <f>E60</f>
        <v>0</v>
      </c>
      <c r="H85" s="409">
        <f>F60</f>
        <v>0</v>
      </c>
      <c r="I85" s="409">
        <f>G60</f>
        <v>0</v>
      </c>
      <c r="J85" s="468">
        <f>H60</f>
        <v>0</v>
      </c>
      <c r="K85" s="302"/>
      <c r="L85" s="302"/>
      <c r="M85" s="302"/>
      <c r="N85" s="302"/>
      <c r="O85" s="302"/>
      <c r="P85" s="547"/>
    </row>
    <row r="86" spans="1:16" ht="39.950000000000003" customHeight="1" thickBot="1" x14ac:dyDescent="0.3">
      <c r="A86" s="509"/>
      <c r="B86" s="994" t="s">
        <v>297</v>
      </c>
      <c r="C86" s="995"/>
      <c r="D86" s="995"/>
      <c r="E86" s="995"/>
      <c r="F86" s="995"/>
      <c r="G86" s="698">
        <f>SUM(G68,G75,G82)</f>
        <v>0</v>
      </c>
      <c r="H86" s="698">
        <f>SUM(H68,H75,H82)</f>
        <v>0</v>
      </c>
      <c r="I86" s="698">
        <f>SUM(I68,I75,I82)</f>
        <v>0</v>
      </c>
      <c r="J86" s="701">
        <f>SUM(J68,J75,J82)</f>
        <v>0</v>
      </c>
      <c r="K86" s="302"/>
      <c r="L86" s="302"/>
      <c r="M86" s="302"/>
      <c r="N86" s="302"/>
      <c r="O86" s="302"/>
      <c r="P86" s="547"/>
    </row>
    <row r="87" spans="1:16" ht="46.5" customHeight="1" thickBot="1" x14ac:dyDescent="0.3">
      <c r="A87" s="509"/>
      <c r="B87" s="908" t="s">
        <v>299</v>
      </c>
      <c r="C87" s="909"/>
      <c r="D87" s="909"/>
      <c r="E87" s="909"/>
      <c r="F87" s="910"/>
      <c r="G87" s="696">
        <f>G85+G86</f>
        <v>0</v>
      </c>
      <c r="H87" s="696">
        <f t="shared" ref="H87:I87" si="1">H85+H86</f>
        <v>0</v>
      </c>
      <c r="I87" s="696">
        <f t="shared" si="1"/>
        <v>0</v>
      </c>
      <c r="J87" s="697">
        <f t="shared" ref="J87" si="2">J85+J86</f>
        <v>0</v>
      </c>
      <c r="K87" s="302"/>
      <c r="L87" s="302"/>
      <c r="M87" s="302"/>
      <c r="N87" s="302"/>
      <c r="O87" s="302"/>
      <c r="P87" s="547"/>
    </row>
    <row r="88" spans="1:16" x14ac:dyDescent="0.25">
      <c r="A88" s="509"/>
      <c r="B88" s="302"/>
      <c r="C88" s="302"/>
      <c r="D88" s="302"/>
      <c r="E88" s="302"/>
      <c r="F88" s="302"/>
      <c r="G88" s="302"/>
      <c r="H88" s="302"/>
      <c r="I88" s="302"/>
      <c r="J88" s="302"/>
      <c r="K88" s="302"/>
      <c r="L88" s="302"/>
      <c r="M88" s="302"/>
      <c r="N88" s="302"/>
      <c r="O88" s="302"/>
      <c r="P88" s="547"/>
    </row>
    <row r="89" spans="1:16" x14ac:dyDescent="0.25">
      <c r="A89" s="509"/>
      <c r="B89" s="302"/>
      <c r="C89" s="302"/>
      <c r="D89" s="302"/>
      <c r="E89" s="302"/>
      <c r="F89" s="302"/>
      <c r="G89" s="302"/>
      <c r="H89" s="302"/>
      <c r="I89" s="302"/>
      <c r="J89" s="302"/>
      <c r="K89" s="302"/>
      <c r="L89" s="302"/>
      <c r="M89" s="302"/>
      <c r="N89" s="302"/>
      <c r="O89" s="302"/>
      <c r="P89" s="547"/>
    </row>
    <row r="90" spans="1:16" x14ac:dyDescent="0.25">
      <c r="A90" s="509"/>
      <c r="B90" s="302"/>
      <c r="C90" s="302"/>
      <c r="D90" s="302"/>
      <c r="E90" s="302"/>
      <c r="F90" s="302"/>
      <c r="G90" s="302"/>
      <c r="H90" s="302"/>
      <c r="I90" s="302"/>
      <c r="J90" s="302"/>
      <c r="K90" s="302"/>
      <c r="L90" s="302"/>
      <c r="M90" s="302"/>
      <c r="N90" s="302"/>
      <c r="O90" s="302"/>
      <c r="P90" s="547"/>
    </row>
    <row r="91" spans="1:16" x14ac:dyDescent="0.25">
      <c r="A91" s="554"/>
      <c r="B91" s="555"/>
      <c r="C91" s="555"/>
      <c r="D91" s="555"/>
      <c r="E91" s="555"/>
      <c r="F91" s="555"/>
      <c r="G91" s="555"/>
      <c r="H91" s="555"/>
      <c r="I91" s="555"/>
      <c r="J91" s="555"/>
      <c r="K91" s="555"/>
      <c r="L91" s="555"/>
      <c r="M91" s="555"/>
      <c r="N91" s="555"/>
      <c r="O91" s="555"/>
      <c r="P91" s="556"/>
    </row>
  </sheetData>
  <sheetProtection algorithmName="SHA-512" hashValue="rYDKpfWBRpjf9020YHZMl2R2GtSqurYoHRLpwvZdi/azcB8EI2YvJ56vhmi8p8sC03Uljfvvxw6qeyLW51BruQ==" saltValue="dRSsnj1bLldFN2Vcn2IqHQ==" spinCount="100000" sheet="1" selectLockedCells="1"/>
  <mergeCells count="74">
    <mergeCell ref="C38:G38"/>
    <mergeCell ref="C39:E39"/>
    <mergeCell ref="F39:G39"/>
    <mergeCell ref="C40:E40"/>
    <mergeCell ref="F40:G40"/>
    <mergeCell ref="C13:G13"/>
    <mergeCell ref="C14:G14"/>
    <mergeCell ref="C16:G16"/>
    <mergeCell ref="C15:G15"/>
    <mergeCell ref="C35:I35"/>
    <mergeCell ref="G34:I34"/>
    <mergeCell ref="C26:C28"/>
    <mergeCell ref="D26:D28"/>
    <mergeCell ref="E26:F27"/>
    <mergeCell ref="G26:I28"/>
    <mergeCell ref="G29:I29"/>
    <mergeCell ref="G30:I30"/>
    <mergeCell ref="G31:I31"/>
    <mergeCell ref="G32:I32"/>
    <mergeCell ref="G33:I33"/>
    <mergeCell ref="H21:I21"/>
    <mergeCell ref="C44:E44"/>
    <mergeCell ref="F44:G44"/>
    <mergeCell ref="C47:D47"/>
    <mergeCell ref="E47:G47"/>
    <mergeCell ref="F52:G52"/>
    <mergeCell ref="C41:E41"/>
    <mergeCell ref="F41:G41"/>
    <mergeCell ref="C42:E42"/>
    <mergeCell ref="F42:G42"/>
    <mergeCell ref="C43:E43"/>
    <mergeCell ref="F43:G43"/>
    <mergeCell ref="B86:F86"/>
    <mergeCell ref="B87:F87"/>
    <mergeCell ref="C57:D57"/>
    <mergeCell ref="B68:C68"/>
    <mergeCell ref="B75:C75"/>
    <mergeCell ref="B82:C82"/>
    <mergeCell ref="B85:F85"/>
    <mergeCell ref="B84:F84"/>
    <mergeCell ref="B62:J62"/>
    <mergeCell ref="C58:D58"/>
    <mergeCell ref="C60:D60"/>
    <mergeCell ref="C59:D59"/>
    <mergeCell ref="J21:K21"/>
    <mergeCell ref="J26:O26"/>
    <mergeCell ref="J27:O27"/>
    <mergeCell ref="J28:K28"/>
    <mergeCell ref="L28:M28"/>
    <mergeCell ref="N28:O28"/>
    <mergeCell ref="C25:O25"/>
    <mergeCell ref="C2:D2"/>
    <mergeCell ref="C3:D3"/>
    <mergeCell ref="C7:E8"/>
    <mergeCell ref="C9:E9"/>
    <mergeCell ref="C10:D10"/>
    <mergeCell ref="E2:I2"/>
    <mergeCell ref="E3:I3"/>
    <mergeCell ref="C56:H56"/>
    <mergeCell ref="C11:I11"/>
    <mergeCell ref="C5:I5"/>
    <mergeCell ref="C12:G12"/>
    <mergeCell ref="C46:G46"/>
    <mergeCell ref="C24:K24"/>
    <mergeCell ref="C18:K18"/>
    <mergeCell ref="C19:C22"/>
    <mergeCell ref="D19:E20"/>
    <mergeCell ref="F19:G20"/>
    <mergeCell ref="H19:I19"/>
    <mergeCell ref="J19:K19"/>
    <mergeCell ref="H20:I20"/>
    <mergeCell ref="J20:K20"/>
    <mergeCell ref="D21:E21"/>
    <mergeCell ref="F21:G21"/>
  </mergeCells>
  <conditionalFormatting sqref="F66:F67 F72:F74 F79:F81">
    <cfRule type="cellIs" dxfId="3" priority="1" operator="greaterThan">
      <formula>0</formula>
    </cfRule>
  </conditionalFormatting>
  <printOptions horizontalCentered="1" verticalCentered="1"/>
  <pageMargins left="0.78740157480314965" right="0.78740157480314965" top="1.1811023622047245" bottom="0.98425196850393704" header="0.51181102362204722" footer="0.51181102362204722"/>
  <pageSetup paperSize="8" scale="80" orientation="portrait"/>
  <headerFooter>
    <oddHeader>&amp;L&amp;"Times New Roman,Halvfet"&amp;16Microbial barrier analysis (MBA)
Operational tool&amp;C&amp;"Times New Roman,Halvfet"&amp;16&amp;A&amp;R&amp;"Times New Roman,Halvfet"&amp;16Page &amp;P of &amp;N
&amp;D</oddHead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key!$A$2:$A$3</xm:f>
          </x14:formula1>
          <xm:sqref>E66:E67 E79:E81 E72:E74</xm:sqref>
        </x14:dataValidation>
        <x14:dataValidation type="list" allowBlank="1" showInputMessage="1" showErrorMessage="1">
          <x14:formula1>
            <xm:f>key!$A$2</xm:f>
          </x14:formula1>
          <xm:sqref>D29:D34 J29:J34 L29:L34 N29:N34</xm:sqref>
        </x14:dataValidation>
        <x14:dataValidation type="list" allowBlank="1" showInputMessage="1" showErrorMessage="1">
          <x14:formula1>
            <xm:f>key!$A$33:$A$35</xm:f>
          </x14:formula1>
          <xm:sqref>C9:E9</xm:sqref>
        </x14:dataValidation>
        <x14:dataValidation type="list" allowBlank="1" showInputMessage="1" showErrorMessage="1">
          <x14:formula1>
            <xm:f>key!$A$45:$A$47</xm:f>
          </x14:formula1>
          <xm:sqref>E47:G47</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
  <sheetViews>
    <sheetView workbookViewId="0">
      <selection activeCell="K56" sqref="K56"/>
    </sheetView>
  </sheetViews>
  <sheetFormatPr baseColWidth="10" defaultColWidth="9.140625" defaultRowHeight="15" x14ac:dyDescent="0.25"/>
  <cols>
    <col min="1" max="1" width="3.140625" customWidth="1"/>
    <col min="2" max="2" width="4.28515625" customWidth="1"/>
    <col min="3" max="3" width="37.85546875" customWidth="1"/>
    <col min="4" max="4" width="16.42578125" customWidth="1"/>
    <col min="5" max="5" width="13" customWidth="1"/>
    <col min="6" max="6" width="16.7109375" customWidth="1"/>
    <col min="7" max="7" width="12.140625" customWidth="1"/>
    <col min="8" max="8" width="18.28515625" customWidth="1"/>
    <col min="9" max="9" width="15.42578125" customWidth="1"/>
    <col min="10" max="10" width="18.7109375" customWidth="1"/>
    <col min="11" max="11" width="11.85546875" customWidth="1"/>
    <col min="12" max="12" width="12.85546875" customWidth="1"/>
    <col min="13" max="13" width="12.7109375" customWidth="1"/>
    <col min="14" max="14" width="12.28515625" customWidth="1"/>
    <col min="15" max="15" width="11.42578125" customWidth="1"/>
    <col min="23" max="23" width="45.140625" customWidth="1"/>
  </cols>
  <sheetData>
    <row r="1" spans="1:25" ht="15.75" thickBot="1" x14ac:dyDescent="0.3">
      <c r="A1" s="603"/>
      <c r="B1" s="604"/>
      <c r="C1" s="604"/>
      <c r="D1" s="604"/>
      <c r="E1" s="604"/>
      <c r="F1" s="604"/>
      <c r="G1" s="604"/>
      <c r="H1" s="604"/>
      <c r="I1" s="604"/>
      <c r="J1" s="604"/>
      <c r="K1" s="604"/>
      <c r="L1" s="604"/>
      <c r="M1" s="604"/>
      <c r="N1" s="604"/>
      <c r="O1" s="604"/>
      <c r="P1" s="605"/>
    </row>
    <row r="2" spans="1:25" ht="24.75" customHeight="1" x14ac:dyDescent="0.25">
      <c r="A2" s="606"/>
      <c r="B2" s="302"/>
      <c r="C2" s="1029" t="str">
        <f>'Lakes and catchment areas'!B2</f>
        <v>Owner of water treatment plant:</v>
      </c>
      <c r="D2" s="1030"/>
      <c r="E2" s="1020" t="str">
        <f>'Lakes and catchment areas'!D2</f>
        <v>BB</v>
      </c>
      <c r="F2" s="1020"/>
      <c r="G2" s="1020"/>
      <c r="H2" s="1020"/>
      <c r="I2" s="1021"/>
      <c r="J2" s="303"/>
      <c r="K2" s="303"/>
      <c r="L2" s="303"/>
      <c r="M2" s="303"/>
      <c r="N2" s="303"/>
      <c r="O2" s="303"/>
      <c r="P2" s="547"/>
    </row>
    <row r="3" spans="1:25" ht="27.75" customHeight="1" thickBot="1" x14ac:dyDescent="0.3">
      <c r="A3" s="606"/>
      <c r="B3" s="302"/>
      <c r="C3" s="1031" t="str">
        <f>'Lakes and catchment areas'!B3</f>
        <v>Name of the water treatment plant:</v>
      </c>
      <c r="D3" s="1032"/>
      <c r="E3" s="1022" t="str">
        <f>'Lakes and catchment areas'!D3</f>
        <v>VV</v>
      </c>
      <c r="F3" s="1022"/>
      <c r="G3" s="1022"/>
      <c r="H3" s="1022"/>
      <c r="I3" s="1023"/>
      <c r="J3" s="303"/>
      <c r="K3" s="303"/>
      <c r="L3" s="303"/>
      <c r="M3" s="303"/>
      <c r="N3" s="303"/>
      <c r="O3" s="303"/>
      <c r="P3" s="547"/>
    </row>
    <row r="4" spans="1:25" ht="21" thickBot="1" x14ac:dyDescent="0.35">
      <c r="A4" s="606"/>
      <c r="B4" s="302"/>
      <c r="C4" s="309"/>
      <c r="D4" s="309"/>
      <c r="E4" s="300"/>
      <c r="F4" s="300"/>
      <c r="G4" s="300"/>
      <c r="H4" s="300"/>
      <c r="I4" s="303"/>
      <c r="J4" s="303"/>
      <c r="K4" s="303"/>
      <c r="L4" s="303"/>
      <c r="M4" s="303"/>
      <c r="N4" s="303"/>
      <c r="O4" s="303"/>
      <c r="P4" s="547"/>
    </row>
    <row r="5" spans="1:25" ht="36" customHeight="1" thickBot="1" x14ac:dyDescent="0.3">
      <c r="A5" s="606"/>
      <c r="B5" s="302"/>
      <c r="C5" s="1097" t="s">
        <v>432</v>
      </c>
      <c r="D5" s="1098"/>
      <c r="E5" s="1098"/>
      <c r="F5" s="1098"/>
      <c r="G5" s="1098"/>
      <c r="H5" s="1098"/>
      <c r="I5" s="1099"/>
      <c r="J5" s="303"/>
      <c r="K5" s="303"/>
      <c r="L5" s="303"/>
      <c r="M5" s="303"/>
      <c r="N5" s="303"/>
      <c r="O5" s="303"/>
      <c r="P5" s="547"/>
    </row>
    <row r="6" spans="1:25" ht="21" thickBot="1" x14ac:dyDescent="0.35">
      <c r="A6" s="606"/>
      <c r="B6" s="302"/>
      <c r="C6" s="309"/>
      <c r="D6" s="309"/>
      <c r="E6" s="300"/>
      <c r="F6" s="300"/>
      <c r="G6" s="300"/>
      <c r="H6" s="300"/>
      <c r="I6" s="303"/>
      <c r="J6" s="303"/>
      <c r="K6" s="303"/>
      <c r="L6" s="303"/>
      <c r="M6" s="303"/>
      <c r="N6" s="303"/>
      <c r="O6" s="303"/>
      <c r="P6" s="547"/>
    </row>
    <row r="7" spans="1:25" ht="53.25" customHeight="1" x14ac:dyDescent="0.25">
      <c r="A7" s="606"/>
      <c r="B7" s="302"/>
      <c r="C7" s="1033" t="s">
        <v>376</v>
      </c>
      <c r="D7" s="1034"/>
      <c r="E7" s="1034"/>
      <c r="F7" s="664" t="s">
        <v>120</v>
      </c>
      <c r="G7" s="500" t="s">
        <v>55</v>
      </c>
      <c r="H7" s="500" t="s">
        <v>80</v>
      </c>
      <c r="I7" s="501" t="s">
        <v>379</v>
      </c>
      <c r="J7" s="253"/>
      <c r="K7" s="253"/>
      <c r="L7" s="202"/>
      <c r="M7" s="202"/>
      <c r="N7" s="202"/>
      <c r="O7" s="202"/>
      <c r="P7" s="547"/>
    </row>
    <row r="8" spans="1:25" ht="15" customHeight="1" x14ac:dyDescent="0.25">
      <c r="A8" s="606"/>
      <c r="B8" s="302"/>
      <c r="C8" s="1035"/>
      <c r="D8" s="1036"/>
      <c r="E8" s="1037"/>
      <c r="F8" s="662" t="s">
        <v>81</v>
      </c>
      <c r="G8" s="222" t="s">
        <v>81</v>
      </c>
      <c r="H8" s="222" t="s">
        <v>82</v>
      </c>
      <c r="I8" s="140" t="s">
        <v>82</v>
      </c>
      <c r="J8" s="238"/>
      <c r="K8" s="238"/>
      <c r="L8" s="202"/>
      <c r="M8" s="202"/>
      <c r="N8" s="202"/>
      <c r="O8" s="202"/>
      <c r="P8" s="547"/>
    </row>
    <row r="9" spans="1:25" ht="30.75" customHeight="1" thickBot="1" x14ac:dyDescent="0.3">
      <c r="A9" s="606"/>
      <c r="B9" s="302"/>
      <c r="C9" s="1038" t="s">
        <v>195</v>
      </c>
      <c r="D9" s="1039"/>
      <c r="E9" s="1040"/>
      <c r="F9" s="141">
        <f>IF($C$9="","",IF($C$9="Velg kategori","",VLOOKUP($C$9,key!$A$40:$B$42,2,FALSE)))</f>
        <v>0</v>
      </c>
      <c r="G9" s="141">
        <f>IF($C$9="","",IF($C$9="Velg kategori","",VLOOKUP($C$9,key!$C$40:$D$42,2,FALSE)))</f>
        <v>0</v>
      </c>
      <c r="H9" s="141">
        <f>IF($C$9="","",IF($C$9="Velg kategori","",VLOOKUP($C$9,key!$E$40:$F$42,2,FALSE)))</f>
        <v>0</v>
      </c>
      <c r="I9" s="142">
        <f>IF($C$9="","",IF($C$9="Velg kategori","",VLOOKUP($C$9,key!$G$40:$H$42,2,FALSE)))</f>
        <v>0</v>
      </c>
      <c r="J9" s="238"/>
      <c r="K9" s="238"/>
      <c r="L9" s="202"/>
      <c r="M9" s="202"/>
      <c r="N9" s="202"/>
      <c r="O9" s="202"/>
      <c r="P9" s="547"/>
    </row>
    <row r="10" spans="1:25" ht="16.5" thickBot="1" x14ac:dyDescent="0.3">
      <c r="A10" s="606"/>
      <c r="B10" s="302"/>
      <c r="C10" s="1028"/>
      <c r="D10" s="1028"/>
      <c r="E10" s="300"/>
      <c r="F10" s="300"/>
      <c r="G10" s="300"/>
      <c r="H10" s="300"/>
      <c r="I10" s="303"/>
      <c r="J10" s="303"/>
      <c r="K10" s="303"/>
      <c r="L10" s="303"/>
      <c r="M10" s="303"/>
      <c r="N10" s="303"/>
      <c r="O10" s="303"/>
      <c r="P10" s="547"/>
    </row>
    <row r="11" spans="1:25" ht="47.25" customHeight="1" x14ac:dyDescent="0.25">
      <c r="A11" s="606"/>
      <c r="B11" s="302"/>
      <c r="C11" s="1024" t="s">
        <v>412</v>
      </c>
      <c r="D11" s="1025"/>
      <c r="E11" s="1025"/>
      <c r="F11" s="1025"/>
      <c r="G11" s="1025"/>
      <c r="H11" s="1025"/>
      <c r="I11" s="1026"/>
      <c r="J11" s="202"/>
      <c r="K11" s="202"/>
      <c r="L11" s="202"/>
      <c r="M11" s="202"/>
      <c r="N11" s="202"/>
      <c r="O11" s="202"/>
      <c r="P11" s="547"/>
      <c r="S11" s="674"/>
      <c r="T11" s="674"/>
      <c r="U11" s="674"/>
      <c r="V11" s="674"/>
      <c r="W11" s="674"/>
      <c r="X11" s="674"/>
      <c r="Y11" s="674"/>
    </row>
    <row r="12" spans="1:25" ht="30" customHeight="1" x14ac:dyDescent="0.25">
      <c r="A12" s="606"/>
      <c r="B12" s="302"/>
      <c r="C12" s="988" t="s">
        <v>308</v>
      </c>
      <c r="D12" s="989"/>
      <c r="E12" s="989"/>
      <c r="F12" s="989"/>
      <c r="G12" s="989"/>
      <c r="H12" s="413"/>
      <c r="I12" s="410"/>
      <c r="J12" s="202"/>
      <c r="K12" s="202"/>
      <c r="L12" s="202"/>
      <c r="M12" s="202"/>
      <c r="N12" s="202"/>
      <c r="O12" s="202"/>
      <c r="P12" s="547"/>
      <c r="S12" s="674"/>
      <c r="T12" s="674"/>
      <c r="U12" s="674"/>
      <c r="V12" s="674"/>
      <c r="W12" s="674"/>
    </row>
    <row r="13" spans="1:25" ht="30" customHeight="1" x14ac:dyDescent="0.25">
      <c r="A13" s="606"/>
      <c r="B13" s="302"/>
      <c r="C13" s="988" t="s">
        <v>306</v>
      </c>
      <c r="D13" s="989"/>
      <c r="E13" s="989"/>
      <c r="F13" s="989"/>
      <c r="G13" s="989"/>
      <c r="H13" s="640"/>
      <c r="I13" s="497" t="s">
        <v>78</v>
      </c>
      <c r="J13" s="202"/>
      <c r="K13" s="202"/>
      <c r="L13" s="202"/>
      <c r="M13" s="202"/>
      <c r="N13" s="202"/>
      <c r="O13" s="202"/>
      <c r="P13" s="547"/>
      <c r="S13" s="674"/>
      <c r="T13" s="674"/>
      <c r="U13" s="674"/>
      <c r="V13" s="674"/>
      <c r="W13" s="674"/>
    </row>
    <row r="14" spans="1:25" ht="30.75" customHeight="1" x14ac:dyDescent="0.25">
      <c r="A14" s="606"/>
      <c r="B14" s="302"/>
      <c r="C14" s="988" t="s">
        <v>307</v>
      </c>
      <c r="D14" s="989"/>
      <c r="E14" s="989"/>
      <c r="F14" s="989"/>
      <c r="G14" s="989"/>
      <c r="H14" s="640"/>
      <c r="I14" s="402" t="s">
        <v>106</v>
      </c>
      <c r="J14" s="202"/>
      <c r="K14" s="202"/>
      <c r="L14" s="202"/>
      <c r="M14" s="202"/>
      <c r="N14" s="202"/>
      <c r="O14" s="202"/>
      <c r="P14" s="547"/>
      <c r="S14" s="674"/>
      <c r="T14" s="674"/>
      <c r="U14" s="674"/>
      <c r="V14" s="674"/>
      <c r="W14" s="674"/>
    </row>
    <row r="15" spans="1:25" ht="31.5" customHeight="1" x14ac:dyDescent="0.25">
      <c r="A15" s="606"/>
      <c r="B15" s="302"/>
      <c r="C15" s="1128" t="s">
        <v>411</v>
      </c>
      <c r="D15" s="1129"/>
      <c r="E15" s="1129"/>
      <c r="F15" s="1129"/>
      <c r="G15" s="1130"/>
      <c r="H15" s="640"/>
      <c r="I15" s="402"/>
      <c r="J15" s="202"/>
      <c r="K15" s="202"/>
      <c r="L15" s="202"/>
      <c r="M15" s="202"/>
      <c r="N15" s="202"/>
      <c r="O15" s="202"/>
      <c r="P15" s="547"/>
      <c r="S15" s="674"/>
      <c r="T15" s="674"/>
      <c r="U15" s="674"/>
      <c r="V15" s="674"/>
      <c r="W15" s="674"/>
    </row>
    <row r="16" spans="1:25" ht="28.5" customHeight="1" x14ac:dyDescent="0.25">
      <c r="A16" s="606"/>
      <c r="B16" s="302"/>
      <c r="C16" s="990" t="s">
        <v>304</v>
      </c>
      <c r="D16" s="991"/>
      <c r="E16" s="991"/>
      <c r="F16" s="991"/>
      <c r="G16" s="991"/>
      <c r="H16" s="640"/>
      <c r="I16" s="402" t="s">
        <v>106</v>
      </c>
      <c r="J16" s="202"/>
      <c r="K16" s="202"/>
      <c r="L16" s="202"/>
      <c r="M16" s="202"/>
      <c r="N16" s="202"/>
      <c r="O16" s="202"/>
      <c r="P16" s="547"/>
      <c r="S16" s="674"/>
      <c r="T16" s="674"/>
      <c r="U16" s="674"/>
      <c r="V16" s="674"/>
      <c r="W16" s="674"/>
    </row>
    <row r="17" spans="1:32" ht="27" customHeight="1" x14ac:dyDescent="0.25">
      <c r="A17" s="606"/>
      <c r="B17" s="302"/>
      <c r="C17" s="990" t="s">
        <v>303</v>
      </c>
      <c r="D17" s="991"/>
      <c r="E17" s="991"/>
      <c r="F17" s="991"/>
      <c r="G17" s="991"/>
      <c r="H17" s="641"/>
      <c r="I17" s="402" t="s">
        <v>106</v>
      </c>
      <c r="J17" s="202"/>
      <c r="K17" s="202"/>
      <c r="L17" s="202"/>
      <c r="M17" s="202"/>
      <c r="N17" s="202"/>
      <c r="O17" s="202"/>
      <c r="P17" s="547"/>
    </row>
    <row r="18" spans="1:32" ht="25.5" customHeight="1" thickBot="1" x14ac:dyDescent="0.3">
      <c r="A18" s="606"/>
      <c r="B18" s="302"/>
      <c r="C18" s="992" t="s">
        <v>431</v>
      </c>
      <c r="D18" s="993"/>
      <c r="E18" s="993"/>
      <c r="F18" s="993"/>
      <c r="G18" s="993"/>
      <c r="H18" s="414"/>
      <c r="I18" s="411" t="s">
        <v>241</v>
      </c>
      <c r="J18" s="202"/>
      <c r="K18" s="202"/>
      <c r="L18" s="202"/>
      <c r="M18" s="202"/>
      <c r="N18" s="202"/>
      <c r="O18" s="202"/>
      <c r="P18" s="547"/>
    </row>
    <row r="19" spans="1:32" ht="25.5" customHeight="1" x14ac:dyDescent="0.35">
      <c r="A19" s="606"/>
      <c r="B19" s="302"/>
      <c r="C19" s="689" t="s">
        <v>410</v>
      </c>
      <c r="D19" s="584"/>
      <c r="E19" s="690"/>
      <c r="F19" s="669"/>
      <c r="G19" s="432"/>
      <c r="H19" s="303"/>
      <c r="I19" s="290"/>
      <c r="J19" s="202"/>
      <c r="K19" s="202"/>
      <c r="L19" s="202"/>
      <c r="M19" s="202"/>
      <c r="N19" s="202"/>
      <c r="O19" s="202"/>
      <c r="P19" s="547"/>
    </row>
    <row r="20" spans="1:32" ht="24" customHeight="1" x14ac:dyDescent="0.25">
      <c r="A20" s="606"/>
      <c r="B20" s="302"/>
      <c r="C20" s="1131" t="s">
        <v>406</v>
      </c>
      <c r="D20" s="1131"/>
      <c r="E20" s="691" t="s">
        <v>405</v>
      </c>
      <c r="F20" s="669"/>
      <c r="G20" s="432"/>
      <c r="H20" s="303"/>
      <c r="I20" s="290"/>
      <c r="J20" s="202"/>
      <c r="K20" s="202"/>
      <c r="L20" s="202"/>
      <c r="M20" s="202"/>
      <c r="N20" s="202"/>
      <c r="O20" s="202"/>
      <c r="P20" s="547"/>
    </row>
    <row r="21" spans="1:32" ht="22.5" customHeight="1" x14ac:dyDescent="0.25">
      <c r="A21" s="606"/>
      <c r="B21" s="302"/>
      <c r="C21" s="1132" t="s">
        <v>407</v>
      </c>
      <c r="D21" s="1132"/>
      <c r="E21" s="692">
        <v>0.9</v>
      </c>
      <c r="F21" s="669"/>
      <c r="G21" s="432"/>
      <c r="H21" s="303"/>
      <c r="I21" s="290"/>
      <c r="J21" s="202"/>
      <c r="K21" s="202"/>
      <c r="L21" s="202"/>
      <c r="M21" s="202"/>
      <c r="N21" s="202"/>
      <c r="O21" s="202"/>
      <c r="P21" s="547"/>
    </row>
    <row r="22" spans="1:32" ht="24.75" customHeight="1" x14ac:dyDescent="0.25">
      <c r="A22" s="606"/>
      <c r="B22" s="302"/>
      <c r="C22" s="1132" t="s">
        <v>408</v>
      </c>
      <c r="D22" s="1132"/>
      <c r="E22" s="693">
        <v>0.75</v>
      </c>
      <c r="F22" s="669"/>
      <c r="G22" s="432"/>
      <c r="H22" s="303"/>
      <c r="I22" s="290"/>
      <c r="J22" s="202"/>
      <c r="K22" s="202"/>
      <c r="L22" s="202"/>
      <c r="M22" s="202"/>
      <c r="N22" s="202"/>
      <c r="O22" s="202"/>
      <c r="P22" s="547"/>
    </row>
    <row r="23" spans="1:32" ht="24" customHeight="1" x14ac:dyDescent="0.25">
      <c r="A23" s="606"/>
      <c r="B23" s="302"/>
      <c r="C23" s="1132" t="s">
        <v>409</v>
      </c>
      <c r="D23" s="1132"/>
      <c r="E23" s="693">
        <v>0.99</v>
      </c>
      <c r="F23" s="669"/>
      <c r="G23" s="432"/>
      <c r="H23" s="433"/>
      <c r="I23" s="290"/>
      <c r="J23" s="202"/>
      <c r="K23" s="202"/>
      <c r="L23" s="202"/>
      <c r="M23" s="202"/>
      <c r="N23" s="202"/>
      <c r="O23" s="202"/>
      <c r="P23" s="547"/>
    </row>
    <row r="24" spans="1:32" x14ac:dyDescent="0.25">
      <c r="A24" s="606"/>
      <c r="B24" s="302"/>
      <c r="C24" s="202"/>
      <c r="D24" s="202"/>
      <c r="E24" s="202"/>
      <c r="F24" s="202"/>
      <c r="G24" s="202"/>
      <c r="H24" s="202"/>
      <c r="I24" s="202"/>
      <c r="J24" s="202"/>
      <c r="K24" s="202"/>
      <c r="L24" s="202"/>
      <c r="M24" s="202"/>
      <c r="N24" s="202"/>
      <c r="O24" s="202"/>
      <c r="P24" s="547"/>
    </row>
    <row r="25" spans="1:32" ht="41.25" customHeight="1" thickBot="1" x14ac:dyDescent="0.3">
      <c r="A25" s="606"/>
      <c r="B25" s="302"/>
      <c r="C25" s="1041" t="s">
        <v>246</v>
      </c>
      <c r="D25" s="1041"/>
      <c r="E25" s="1041"/>
      <c r="F25" s="1041"/>
      <c r="G25" s="1041"/>
      <c r="H25" s="1041"/>
      <c r="I25" s="1041"/>
      <c r="J25" s="1041"/>
      <c r="K25" s="1041"/>
      <c r="L25" s="202"/>
      <c r="M25" s="202"/>
      <c r="N25" s="202"/>
      <c r="O25" s="202"/>
      <c r="P25" s="547"/>
    </row>
    <row r="26" spans="1:32" ht="15" customHeight="1" x14ac:dyDescent="0.25">
      <c r="A26" s="606"/>
      <c r="B26" s="302"/>
      <c r="C26" s="1107"/>
      <c r="D26" s="1118" t="s">
        <v>120</v>
      </c>
      <c r="E26" s="1110"/>
      <c r="F26" s="1110" t="s">
        <v>34</v>
      </c>
      <c r="G26" s="1111"/>
      <c r="H26" s="1042" t="s">
        <v>242</v>
      </c>
      <c r="I26" s="1042"/>
      <c r="J26" s="1042" t="s">
        <v>244</v>
      </c>
      <c r="K26" s="1043"/>
      <c r="L26" s="202"/>
      <c r="M26" s="202"/>
      <c r="N26" s="202"/>
      <c r="O26" s="202"/>
      <c r="P26" s="547"/>
    </row>
    <row r="27" spans="1:32" ht="15" customHeight="1" x14ac:dyDescent="0.25">
      <c r="A27" s="606"/>
      <c r="B27" s="302"/>
      <c r="C27" s="1108"/>
      <c r="D27" s="1119"/>
      <c r="E27" s="1112"/>
      <c r="F27" s="1112"/>
      <c r="G27" s="1113"/>
      <c r="H27" s="1046" t="s">
        <v>243</v>
      </c>
      <c r="I27" s="1046"/>
      <c r="J27" s="1046" t="s">
        <v>245</v>
      </c>
      <c r="K27" s="1059"/>
      <c r="L27" s="202"/>
      <c r="M27" s="202"/>
      <c r="N27" s="202"/>
      <c r="O27" s="202"/>
      <c r="P27" s="547"/>
    </row>
    <row r="28" spans="1:32" x14ac:dyDescent="0.25">
      <c r="A28" s="606"/>
      <c r="B28" s="302"/>
      <c r="C28" s="1108"/>
      <c r="D28" s="1115" t="s">
        <v>65</v>
      </c>
      <c r="E28" s="1116"/>
      <c r="F28" s="1116" t="s">
        <v>65</v>
      </c>
      <c r="G28" s="1116"/>
      <c r="H28" s="1116" t="s">
        <v>66</v>
      </c>
      <c r="I28" s="1116"/>
      <c r="J28" s="1116" t="s">
        <v>66</v>
      </c>
      <c r="K28" s="1117"/>
      <c r="L28" s="202"/>
      <c r="M28" s="202"/>
      <c r="N28" s="202"/>
      <c r="O28" s="202"/>
      <c r="P28" s="547"/>
    </row>
    <row r="29" spans="1:32" ht="15.75" thickBot="1" x14ac:dyDescent="0.3">
      <c r="A29" s="606"/>
      <c r="B29" s="302"/>
      <c r="C29" s="1109"/>
      <c r="D29" s="434" t="s">
        <v>103</v>
      </c>
      <c r="E29" s="435" t="s">
        <v>104</v>
      </c>
      <c r="F29" s="435" t="s">
        <v>103</v>
      </c>
      <c r="G29" s="435" t="s">
        <v>105</v>
      </c>
      <c r="H29" s="435" t="s">
        <v>103</v>
      </c>
      <c r="I29" s="435" t="s">
        <v>105</v>
      </c>
      <c r="J29" s="435" t="s">
        <v>103</v>
      </c>
      <c r="K29" s="436" t="s">
        <v>105</v>
      </c>
      <c r="L29" s="202"/>
      <c r="M29" s="202"/>
      <c r="N29" s="202"/>
      <c r="O29" s="202"/>
      <c r="P29" s="547"/>
    </row>
    <row r="30" spans="1:32" ht="23.25" customHeight="1" thickBot="1" x14ac:dyDescent="0.3">
      <c r="A30" s="606"/>
      <c r="B30" s="302"/>
      <c r="C30" s="437" t="s">
        <v>309</v>
      </c>
      <c r="D30" s="438">
        <v>0.5</v>
      </c>
      <c r="E30" s="439">
        <v>0.75</v>
      </c>
      <c r="F30" s="440">
        <v>1</v>
      </c>
      <c r="G30" s="440">
        <v>1.4</v>
      </c>
      <c r="H30" s="441">
        <v>1.5</v>
      </c>
      <c r="I30" s="441">
        <v>2</v>
      </c>
      <c r="J30" s="441">
        <v>30</v>
      </c>
      <c r="K30" s="442">
        <v>45</v>
      </c>
      <c r="L30" s="202"/>
      <c r="M30" s="202"/>
      <c r="N30" s="202"/>
      <c r="O30" s="202"/>
      <c r="P30" s="547"/>
    </row>
    <row r="31" spans="1:32" x14ac:dyDescent="0.25">
      <c r="A31" s="606"/>
      <c r="B31" s="302"/>
      <c r="C31" s="1050"/>
      <c r="D31" s="1050"/>
      <c r="E31" s="1050"/>
      <c r="F31" s="1050"/>
      <c r="G31" s="1050"/>
      <c r="H31" s="1050"/>
      <c r="I31" s="1050"/>
      <c r="J31" s="1050"/>
      <c r="K31" s="1050"/>
      <c r="L31" s="202"/>
      <c r="M31" s="202"/>
      <c r="N31" s="202"/>
      <c r="O31" s="202"/>
      <c r="P31" s="547"/>
    </row>
    <row r="32" spans="1:32" ht="35.25" customHeight="1" thickBot="1" x14ac:dyDescent="0.3">
      <c r="A32" s="606"/>
      <c r="B32" s="302"/>
      <c r="C32" s="1041" t="s">
        <v>400</v>
      </c>
      <c r="D32" s="1041"/>
      <c r="E32" s="1041"/>
      <c r="F32" s="1041"/>
      <c r="G32" s="1041"/>
      <c r="H32" s="1041"/>
      <c r="I32" s="1041"/>
      <c r="J32" s="1041"/>
      <c r="K32" s="1041"/>
      <c r="L32" s="1041"/>
      <c r="M32" s="1041"/>
      <c r="N32" s="1041"/>
      <c r="O32" s="1041"/>
      <c r="P32" s="547"/>
      <c r="T32" s="674"/>
      <c r="U32" s="674"/>
      <c r="V32" s="674"/>
      <c r="W32" s="674"/>
      <c r="X32" s="674"/>
      <c r="Y32" s="674"/>
      <c r="Z32" s="674"/>
      <c r="AA32" s="674"/>
      <c r="AB32" s="674"/>
      <c r="AC32" s="674"/>
      <c r="AD32" s="674"/>
      <c r="AE32" s="674"/>
      <c r="AF32" s="674"/>
    </row>
    <row r="33" spans="1:16" ht="15" customHeight="1" x14ac:dyDescent="0.25">
      <c r="A33" s="606"/>
      <c r="B33" s="302"/>
      <c r="C33" s="1061" t="s">
        <v>248</v>
      </c>
      <c r="D33" s="1081" t="s">
        <v>249</v>
      </c>
      <c r="E33" s="1044" t="s">
        <v>250</v>
      </c>
      <c r="F33" s="1044"/>
      <c r="G33" s="1064" t="s">
        <v>251</v>
      </c>
      <c r="H33" s="1065"/>
      <c r="I33" s="1066"/>
      <c r="J33" s="1088" t="s">
        <v>252</v>
      </c>
      <c r="K33" s="1089"/>
      <c r="L33" s="1089"/>
      <c r="M33" s="1089"/>
      <c r="N33" s="1089"/>
      <c r="O33" s="1090"/>
      <c r="P33" s="547"/>
    </row>
    <row r="34" spans="1:16" ht="15" customHeight="1" x14ac:dyDescent="0.25">
      <c r="A34" s="606"/>
      <c r="B34" s="302"/>
      <c r="C34" s="1062"/>
      <c r="D34" s="1082"/>
      <c r="E34" s="1045"/>
      <c r="F34" s="1045"/>
      <c r="G34" s="1067"/>
      <c r="H34" s="1068"/>
      <c r="I34" s="1069"/>
      <c r="J34" s="1091" t="s">
        <v>253</v>
      </c>
      <c r="K34" s="1092"/>
      <c r="L34" s="1092"/>
      <c r="M34" s="1092"/>
      <c r="N34" s="1092"/>
      <c r="O34" s="1093"/>
      <c r="P34" s="547"/>
    </row>
    <row r="35" spans="1:16" ht="18.75" thickBot="1" x14ac:dyDescent="0.3">
      <c r="A35" s="606"/>
      <c r="B35" s="302"/>
      <c r="C35" s="1063"/>
      <c r="D35" s="1083"/>
      <c r="E35" s="671" t="s">
        <v>397</v>
      </c>
      <c r="F35" s="254" t="s">
        <v>395</v>
      </c>
      <c r="G35" s="1070"/>
      <c r="H35" s="1071"/>
      <c r="I35" s="1072"/>
      <c r="J35" s="1096">
        <v>1</v>
      </c>
      <c r="K35" s="1087"/>
      <c r="L35" s="1087">
        <v>2</v>
      </c>
      <c r="M35" s="1087"/>
      <c r="N35" s="1094">
        <v>3</v>
      </c>
      <c r="O35" s="1095"/>
      <c r="P35" s="547"/>
    </row>
    <row r="36" spans="1:16" ht="45" customHeight="1" x14ac:dyDescent="0.25">
      <c r="A36" s="606"/>
      <c r="B36" s="302"/>
      <c r="C36" s="255" t="s">
        <v>254</v>
      </c>
      <c r="D36" s="389"/>
      <c r="E36" s="443">
        <v>0.1</v>
      </c>
      <c r="F36" s="256">
        <v>0.3</v>
      </c>
      <c r="G36" s="1084" t="s">
        <v>260</v>
      </c>
      <c r="H36" s="1085"/>
      <c r="I36" s="1086"/>
      <c r="J36" s="392"/>
      <c r="K36" s="443">
        <v>1</v>
      </c>
      <c r="L36" s="392"/>
      <c r="M36" s="443">
        <v>2</v>
      </c>
      <c r="N36" s="392"/>
      <c r="O36" s="195">
        <v>2.5</v>
      </c>
      <c r="P36" s="547"/>
    </row>
    <row r="37" spans="1:16" ht="45" customHeight="1" x14ac:dyDescent="0.25">
      <c r="A37" s="606"/>
      <c r="B37" s="302"/>
      <c r="C37" s="257" t="s">
        <v>255</v>
      </c>
      <c r="D37" s="390"/>
      <c r="E37" s="444">
        <v>0.3</v>
      </c>
      <c r="F37" s="258">
        <v>0.4</v>
      </c>
      <c r="G37" s="1074" t="s">
        <v>262</v>
      </c>
      <c r="H37" s="1075"/>
      <c r="I37" s="1076"/>
      <c r="J37" s="393"/>
      <c r="K37" s="444">
        <v>1</v>
      </c>
      <c r="L37" s="393"/>
      <c r="M37" s="444">
        <v>1.8</v>
      </c>
      <c r="N37" s="393"/>
      <c r="O37" s="186">
        <v>2</v>
      </c>
      <c r="P37" s="547"/>
    </row>
    <row r="38" spans="1:16" ht="45" customHeight="1" x14ac:dyDescent="0.25">
      <c r="A38" s="606"/>
      <c r="B38" s="302"/>
      <c r="C38" s="257" t="s">
        <v>256</v>
      </c>
      <c r="D38" s="390"/>
      <c r="E38" s="444">
        <v>0.5</v>
      </c>
      <c r="F38" s="258">
        <v>0.5</v>
      </c>
      <c r="G38" s="1074" t="s">
        <v>261</v>
      </c>
      <c r="H38" s="1075"/>
      <c r="I38" s="1076"/>
      <c r="J38" s="393"/>
      <c r="K38" s="444">
        <v>1</v>
      </c>
      <c r="L38" s="393"/>
      <c r="M38" s="444">
        <v>1.5</v>
      </c>
      <c r="N38" s="393"/>
      <c r="O38" s="186">
        <v>1.8</v>
      </c>
      <c r="P38" s="547"/>
    </row>
    <row r="39" spans="1:16" ht="45" customHeight="1" x14ac:dyDescent="0.25">
      <c r="A39" s="606"/>
      <c r="B39" s="302"/>
      <c r="C39" s="257" t="s">
        <v>257</v>
      </c>
      <c r="D39" s="390"/>
      <c r="E39" s="444">
        <v>0.7</v>
      </c>
      <c r="F39" s="258">
        <v>0.7</v>
      </c>
      <c r="G39" s="1074" t="s">
        <v>264</v>
      </c>
      <c r="H39" s="1075"/>
      <c r="I39" s="1076"/>
      <c r="J39" s="393"/>
      <c r="K39" s="444">
        <v>1</v>
      </c>
      <c r="L39" s="393"/>
      <c r="M39" s="444">
        <v>1.3</v>
      </c>
      <c r="N39" s="393"/>
      <c r="O39" s="186">
        <v>1.4</v>
      </c>
      <c r="P39" s="547"/>
    </row>
    <row r="40" spans="1:16" ht="45" customHeight="1" x14ac:dyDescent="0.25">
      <c r="A40" s="606"/>
      <c r="B40" s="302"/>
      <c r="C40" s="257" t="s">
        <v>258</v>
      </c>
      <c r="D40" s="390"/>
      <c r="E40" s="444">
        <v>0.9</v>
      </c>
      <c r="F40" s="258">
        <v>0.9</v>
      </c>
      <c r="G40" s="1074" t="s">
        <v>263</v>
      </c>
      <c r="H40" s="1075"/>
      <c r="I40" s="1076"/>
      <c r="J40" s="393"/>
      <c r="K40" s="444">
        <v>1</v>
      </c>
      <c r="L40" s="393"/>
      <c r="M40" s="444">
        <v>1.1000000000000001</v>
      </c>
      <c r="N40" s="393"/>
      <c r="O40" s="186">
        <v>1.1000000000000001</v>
      </c>
      <c r="P40" s="547"/>
    </row>
    <row r="41" spans="1:16" ht="45" customHeight="1" x14ac:dyDescent="0.25">
      <c r="A41" s="606"/>
      <c r="B41" s="302"/>
      <c r="C41" s="257" t="s">
        <v>259</v>
      </c>
      <c r="D41" s="390"/>
      <c r="E41" s="444">
        <v>1</v>
      </c>
      <c r="F41" s="258">
        <v>1</v>
      </c>
      <c r="G41" s="1074" t="s">
        <v>265</v>
      </c>
      <c r="H41" s="1075"/>
      <c r="I41" s="1076"/>
      <c r="J41" s="393"/>
      <c r="K41" s="444">
        <v>1</v>
      </c>
      <c r="L41" s="393"/>
      <c r="M41" s="444">
        <v>1</v>
      </c>
      <c r="N41" s="393"/>
      <c r="O41" s="186">
        <v>1</v>
      </c>
      <c r="P41" s="547"/>
    </row>
    <row r="42" spans="1:16" ht="29.25" customHeight="1" x14ac:dyDescent="0.25">
      <c r="A42" s="606"/>
      <c r="B42" s="302"/>
      <c r="C42" s="255" t="s">
        <v>401</v>
      </c>
      <c r="D42" s="389"/>
      <c r="E42" s="684">
        <v>0.5</v>
      </c>
      <c r="F42" s="685">
        <v>0.55000000000000004</v>
      </c>
      <c r="G42" s="1120"/>
      <c r="H42" s="1121"/>
      <c r="I42" s="1122"/>
      <c r="J42" s="392"/>
      <c r="K42" s="443">
        <v>1</v>
      </c>
      <c r="L42" s="392"/>
      <c r="M42" s="443">
        <v>1.5</v>
      </c>
      <c r="N42" s="392"/>
      <c r="O42" s="195">
        <v>1.8</v>
      </c>
      <c r="P42" s="547"/>
    </row>
    <row r="43" spans="1:16" ht="28.5" customHeight="1" x14ac:dyDescent="0.25">
      <c r="A43" s="606"/>
      <c r="B43" s="302"/>
      <c r="C43" s="255" t="s">
        <v>402</v>
      </c>
      <c r="D43" s="390"/>
      <c r="E43" s="686">
        <v>0.7</v>
      </c>
      <c r="F43" s="452">
        <v>0.75</v>
      </c>
      <c r="G43" s="1074"/>
      <c r="H43" s="1075"/>
      <c r="I43" s="1076"/>
      <c r="J43" s="393"/>
      <c r="K43" s="444">
        <v>1</v>
      </c>
      <c r="L43" s="393"/>
      <c r="M43" s="444">
        <v>1.3</v>
      </c>
      <c r="N43" s="393"/>
      <c r="O43" s="186">
        <v>1.4</v>
      </c>
      <c r="P43" s="547"/>
    </row>
    <row r="44" spans="1:16" ht="27.75" customHeight="1" x14ac:dyDescent="0.25">
      <c r="A44" s="606"/>
      <c r="B44" s="302"/>
      <c r="C44" s="255" t="s">
        <v>403</v>
      </c>
      <c r="D44" s="390"/>
      <c r="E44" s="686">
        <v>0.85</v>
      </c>
      <c r="F44" s="452">
        <v>0.85</v>
      </c>
      <c r="G44" s="1074"/>
      <c r="H44" s="1075"/>
      <c r="I44" s="1076"/>
      <c r="J44" s="393"/>
      <c r="K44" s="444">
        <v>1</v>
      </c>
      <c r="L44" s="393"/>
      <c r="M44" s="444">
        <v>1.1000000000000001</v>
      </c>
      <c r="N44" s="393"/>
      <c r="O44" s="186">
        <v>1.1000000000000001</v>
      </c>
      <c r="P44" s="547"/>
    </row>
    <row r="45" spans="1:16" ht="25.5" customHeight="1" thickBot="1" x14ac:dyDescent="0.3">
      <c r="A45" s="606"/>
      <c r="B45" s="302"/>
      <c r="C45" s="255" t="s">
        <v>404</v>
      </c>
      <c r="D45" s="391"/>
      <c r="E45" s="687">
        <v>0.95</v>
      </c>
      <c r="F45" s="688">
        <v>0.95</v>
      </c>
      <c r="G45" s="1077"/>
      <c r="H45" s="1078"/>
      <c r="I45" s="1079"/>
      <c r="J45" s="394"/>
      <c r="K45" s="445">
        <v>1</v>
      </c>
      <c r="L45" s="394"/>
      <c r="M45" s="445">
        <v>1</v>
      </c>
      <c r="N45" s="394"/>
      <c r="O45" s="190">
        <v>1</v>
      </c>
      <c r="P45" s="547"/>
    </row>
    <row r="46" spans="1:16" ht="24" customHeight="1" x14ac:dyDescent="0.25">
      <c r="A46" s="606"/>
      <c r="B46" s="302"/>
      <c r="C46" s="1050" t="s">
        <v>415</v>
      </c>
      <c r="D46" s="1080"/>
      <c r="E46" s="1080"/>
      <c r="F46" s="1080"/>
      <c r="G46" s="1080"/>
      <c r="H46" s="1080"/>
      <c r="I46" s="1080"/>
      <c r="J46" s="202"/>
      <c r="K46" s="202"/>
      <c r="L46" s="202"/>
      <c r="M46" s="202"/>
      <c r="N46" s="202"/>
      <c r="O46" s="202"/>
      <c r="P46" s="547"/>
    </row>
    <row r="47" spans="1:16" ht="24" customHeight="1" x14ac:dyDescent="0.25">
      <c r="A47" s="606"/>
      <c r="B47" s="302"/>
      <c r="C47" s="238" t="s">
        <v>396</v>
      </c>
      <c r="D47" s="237"/>
      <c r="E47" s="237"/>
      <c r="F47" s="237"/>
      <c r="G47" s="237"/>
      <c r="H47" s="237"/>
      <c r="I47" s="237"/>
      <c r="J47" s="202"/>
      <c r="K47" s="202"/>
      <c r="L47" s="202"/>
      <c r="M47" s="202"/>
      <c r="N47" s="202"/>
      <c r="O47" s="202"/>
      <c r="P47" s="547"/>
    </row>
    <row r="48" spans="1:16" ht="24.75" customHeight="1" thickBot="1" x14ac:dyDescent="0.3">
      <c r="A48" s="606"/>
      <c r="B48" s="302"/>
      <c r="C48" s="237"/>
      <c r="D48" s="237"/>
      <c r="E48" s="237"/>
      <c r="F48" s="237"/>
      <c r="G48" s="237"/>
      <c r="H48" s="237"/>
      <c r="I48" s="237"/>
      <c r="J48" s="202"/>
      <c r="K48" s="202"/>
      <c r="L48" s="202"/>
      <c r="M48" s="202"/>
      <c r="N48" s="202"/>
      <c r="O48" s="202"/>
      <c r="P48" s="547"/>
    </row>
    <row r="49" spans="1:16" ht="36.75" customHeight="1" x14ac:dyDescent="0.25">
      <c r="A49" s="606"/>
      <c r="B49" s="302"/>
      <c r="C49" s="971" t="s">
        <v>425</v>
      </c>
      <c r="D49" s="972"/>
      <c r="E49" s="972"/>
      <c r="F49" s="972"/>
      <c r="G49" s="973"/>
      <c r="H49" s="292"/>
      <c r="I49" s="202"/>
      <c r="J49" s="202"/>
      <c r="K49" s="202"/>
      <c r="L49" s="202"/>
      <c r="M49" s="202"/>
      <c r="N49" s="202"/>
      <c r="O49" s="202"/>
      <c r="P49" s="547"/>
    </row>
    <row r="50" spans="1:16" ht="27.75" customHeight="1" x14ac:dyDescent="0.25">
      <c r="A50" s="606"/>
      <c r="B50" s="302"/>
      <c r="C50" s="969" t="s">
        <v>266</v>
      </c>
      <c r="D50" s="970"/>
      <c r="E50" s="970"/>
      <c r="F50" s="974" t="str">
        <f>IF(D36="yes",E36,IF(D37="yes",E37,IF(D38="yes",E38,IF(D39="yes",E39,IF(D40="yes",E40,IF(D41="yes",E41,IF(D41="yes",E41,IF(D42="yes",E42,IF(D43="yes",E43,IF(D44="yes",E44,IF(D45="yes",E45,"Must enter a value!")))))))))))</f>
        <v>Must enter a value!</v>
      </c>
      <c r="G50" s="975"/>
      <c r="H50" s="301"/>
      <c r="I50" s="202"/>
      <c r="J50" s="202"/>
      <c r="K50" s="202"/>
      <c r="L50" s="202"/>
      <c r="M50" s="202"/>
      <c r="N50" s="202"/>
      <c r="O50" s="202"/>
      <c r="P50" s="547"/>
    </row>
    <row r="51" spans="1:16" ht="27.75" customHeight="1" x14ac:dyDescent="0.25">
      <c r="A51" s="606"/>
      <c r="B51" s="302"/>
      <c r="C51" s="969" t="s">
        <v>267</v>
      </c>
      <c r="D51" s="970"/>
      <c r="E51" s="970"/>
      <c r="F51" s="974" t="str">
        <f>IF(D36="yes",F36,IF(D37="yes",F37,IF(D38="yes",F38,IF(D39="yes",F39,IF(D40="yes",F40,IF(D41="yes",F41,IF(D42="yes",F42,IF(D43="yes",F43,IF(D44="yes",F44,IF(D45="yes",F45,"Must enter a value!"))))))))))</f>
        <v>Must enter a value!</v>
      </c>
      <c r="G51" s="975"/>
      <c r="H51" s="299"/>
      <c r="I51" s="202"/>
      <c r="J51" s="202"/>
      <c r="K51" s="202"/>
      <c r="L51" s="202"/>
      <c r="M51" s="202"/>
      <c r="N51" s="202"/>
      <c r="O51" s="202"/>
      <c r="P51" s="547"/>
    </row>
    <row r="52" spans="1:16" ht="27" customHeight="1" x14ac:dyDescent="0.25">
      <c r="A52" s="606"/>
      <c r="B52" s="302"/>
      <c r="C52" s="969" t="s">
        <v>268</v>
      </c>
      <c r="D52" s="970"/>
      <c r="E52" s="970"/>
      <c r="F52" s="998" t="str">
        <f>IF($J$36="yes",$K$36,IF($J$37="yes",$K$37,IF($J$38="yes",$K$38,IF($J$39="yes",$K$39,IF($J$40="yes",$K$40,IF($J$41="yes",$K$41,IF($L$36="yes",$M$36,IF($L$37="yes",$M$37,IF($L$38="yes",$M$38,IF($L$39="yes",$M$39,IF($L$40="yes",$M$40,IF($L$41="yes",$M$41,IF($N$36="yes",$O$36,IF($N$37="yes",$O$37,IF($N$38="yes",$O$38,IF($N$39="yes",$O$39,IF($N$40="yes",$O$40,IF($N$41="yes",$O$41,IF($J$42="yes",$K$42,IF($J$43="yes",$K$43,IF($J$44="yes",$K$44,IF($J$45="yes",$K$45,IF($L$42="yes",$M$42,IF($L$43="yes",$M$43,IF($L$44="yes",$M$44,IF($L$45="yes",$M$45,IF($N$42="yes",$O$42,IF($N$43="yes",$O$43,IF($N$44="yes",$O$44,IF($N$45="yes",$O$45,"Must enter a value!"))))))))))))))))))))))))))))))</f>
        <v>Must enter a value!</v>
      </c>
      <c r="G52" s="999"/>
      <c r="H52" s="202"/>
      <c r="I52" s="202"/>
      <c r="J52" s="202"/>
      <c r="K52" s="202"/>
      <c r="L52" s="202"/>
      <c r="M52" s="202"/>
      <c r="N52" s="202"/>
      <c r="O52" s="202"/>
      <c r="P52" s="547"/>
    </row>
    <row r="53" spans="1:16" ht="33" customHeight="1" x14ac:dyDescent="0.25">
      <c r="A53" s="606"/>
      <c r="B53" s="302"/>
      <c r="C53" s="969" t="s">
        <v>417</v>
      </c>
      <c r="D53" s="970"/>
      <c r="E53" s="970"/>
      <c r="F53" s="974">
        <f>$H$18</f>
        <v>0</v>
      </c>
      <c r="G53" s="975"/>
      <c r="H53" s="498"/>
      <c r="I53" s="202"/>
      <c r="J53" s="202"/>
      <c r="K53" s="202"/>
      <c r="L53" s="202"/>
      <c r="M53" s="202"/>
      <c r="N53" s="202"/>
      <c r="O53" s="202"/>
      <c r="P53" s="547"/>
    </row>
    <row r="54" spans="1:16" ht="33.75" customHeight="1" x14ac:dyDescent="0.25">
      <c r="A54" s="606"/>
      <c r="B54" s="302"/>
      <c r="C54" s="981" t="s">
        <v>269</v>
      </c>
      <c r="D54" s="982"/>
      <c r="E54" s="982"/>
      <c r="F54" s="1000" t="str">
        <f>IF($F$50="Must enter a value","Chose mixing condition",IF($F$52="Must enter a value!","Chose chambers in series",$F$50*$F$52*$F$53))</f>
        <v>Chose chambers in series</v>
      </c>
      <c r="G54" s="1001"/>
      <c r="H54" s="498"/>
      <c r="I54" s="202"/>
      <c r="J54" s="202"/>
      <c r="K54" s="202"/>
      <c r="L54" s="202"/>
      <c r="M54" s="202"/>
      <c r="N54" s="202"/>
      <c r="O54" s="202"/>
      <c r="P54" s="547"/>
    </row>
    <row r="55" spans="1:16" ht="35.25" customHeight="1" thickBot="1" x14ac:dyDescent="0.3">
      <c r="A55" s="606"/>
      <c r="B55" s="303"/>
      <c r="C55" s="979" t="s">
        <v>270</v>
      </c>
      <c r="D55" s="980"/>
      <c r="E55" s="980"/>
      <c r="F55" s="1002" t="str">
        <f>IF($F$51="Must enter a value!","Chose mixing condition",IF($F$52="Must enter a value!","Chose chambers in series",$F$51*$F$52*$F$53))</f>
        <v>Chose mixing condition</v>
      </c>
      <c r="G55" s="1003"/>
      <c r="H55" s="498"/>
      <c r="I55" s="202"/>
      <c r="J55" s="202"/>
      <c r="K55" s="202"/>
      <c r="L55" s="202"/>
      <c r="M55" s="202"/>
      <c r="N55" s="202"/>
      <c r="O55" s="202"/>
      <c r="P55" s="602"/>
    </row>
    <row r="56" spans="1:16" ht="15.75" thickBot="1" x14ac:dyDescent="0.3">
      <c r="A56" s="606"/>
      <c r="B56" s="303"/>
      <c r="C56" s="560"/>
      <c r="D56" s="215"/>
      <c r="E56" s="215"/>
      <c r="F56" s="215"/>
      <c r="G56" s="215"/>
      <c r="H56" s="215"/>
      <c r="I56" s="215"/>
      <c r="J56" s="202"/>
      <c r="K56" s="202"/>
      <c r="L56" s="202"/>
      <c r="M56" s="202"/>
      <c r="N56" s="202"/>
      <c r="O56" s="202"/>
      <c r="P56" s="602"/>
    </row>
    <row r="57" spans="1:16" ht="45" customHeight="1" thickBot="1" x14ac:dyDescent="0.3">
      <c r="A57" s="606"/>
      <c r="B57" s="303"/>
      <c r="C57" s="983" t="s">
        <v>453</v>
      </c>
      <c r="D57" s="984"/>
      <c r="E57" s="984"/>
      <c r="F57" s="984"/>
      <c r="G57" s="985"/>
      <c r="H57" s="215"/>
      <c r="I57" s="215"/>
      <c r="J57" s="202"/>
      <c r="K57" s="202"/>
      <c r="L57" s="202"/>
      <c r="M57" s="202"/>
      <c r="N57" s="202"/>
      <c r="O57" s="202"/>
      <c r="P57" s="602"/>
    </row>
    <row r="58" spans="1:16" ht="54.95" customHeight="1" thickBot="1" x14ac:dyDescent="0.3">
      <c r="A58" s="606"/>
      <c r="B58" s="303"/>
      <c r="C58" s="1012" t="s">
        <v>271</v>
      </c>
      <c r="D58" s="1013"/>
      <c r="E58" s="1125" t="s">
        <v>280</v>
      </c>
      <c r="F58" s="1126"/>
      <c r="G58" s="1127"/>
      <c r="H58" s="202"/>
      <c r="I58" s="421"/>
      <c r="J58" s="1114"/>
      <c r="K58" s="1114"/>
      <c r="L58" s="1114"/>
      <c r="M58" s="1114"/>
      <c r="N58" s="1114"/>
      <c r="O58" s="202"/>
      <c r="P58" s="602"/>
    </row>
    <row r="59" spans="1:16" ht="21.75" customHeight="1" x14ac:dyDescent="0.25">
      <c r="A59" s="606"/>
      <c r="B59" s="303"/>
      <c r="C59" s="398" t="s">
        <v>418</v>
      </c>
      <c r="D59" s="399"/>
      <c r="E59" s="399"/>
      <c r="F59" s="399"/>
      <c r="G59" s="400"/>
      <c r="H59" s="202"/>
      <c r="I59" s="202"/>
      <c r="J59" s="202"/>
      <c r="K59" s="202"/>
      <c r="L59" s="202"/>
      <c r="M59" s="202"/>
      <c r="N59" s="202"/>
      <c r="O59" s="202"/>
      <c r="P59" s="602"/>
    </row>
    <row r="60" spans="1:16" ht="25.5" customHeight="1" x14ac:dyDescent="0.25">
      <c r="A60" s="606"/>
      <c r="B60" s="302"/>
      <c r="C60" s="401" t="s">
        <v>272</v>
      </c>
      <c r="D60" s="397" t="s">
        <v>106</v>
      </c>
      <c r="E60" s="407" t="e">
        <f>IF(E58="through a combination of measurements and calculations (Cdose, Cout og TOC)",0.14*H13+0.58*H14+0.09*H14/H13+0.07*H12-0.92,IF(E58="by measurements (Cdose, Cin og Cout)",H14-H17,IF(E58="through model calculation (Cdose, TOC)",0.14*H13+0.58*H14+0.09*H14/H13+0.07*H12-0.92,"")))</f>
        <v>#DIV/0!</v>
      </c>
      <c r="F60" s="397"/>
      <c r="G60" s="402"/>
      <c r="H60" s="202"/>
      <c r="I60" s="202"/>
      <c r="J60" s="202"/>
      <c r="K60" s="202"/>
      <c r="L60" s="202"/>
      <c r="M60" s="202"/>
      <c r="N60" s="202"/>
      <c r="O60" s="202"/>
      <c r="P60" s="547"/>
    </row>
    <row r="61" spans="1:16" ht="25.5" customHeight="1" x14ac:dyDescent="0.25">
      <c r="A61" s="606"/>
      <c r="B61" s="302"/>
      <c r="C61" s="401" t="s">
        <v>273</v>
      </c>
      <c r="D61" s="397" t="s">
        <v>106</v>
      </c>
      <c r="E61" s="407" t="e">
        <f>IF((H14*H15-E60)&lt;0,0,(H14*H15-E60))</f>
        <v>#DIV/0!</v>
      </c>
      <c r="F61" s="397"/>
      <c r="G61" s="402"/>
      <c r="H61" s="202"/>
      <c r="I61" s="202"/>
      <c r="J61" s="202"/>
      <c r="K61" s="202"/>
      <c r="L61" s="202"/>
      <c r="M61" s="202"/>
      <c r="N61" s="202"/>
      <c r="O61" s="202"/>
      <c r="P61" s="547"/>
    </row>
    <row r="62" spans="1:16" ht="24.75" customHeight="1" x14ac:dyDescent="0.25">
      <c r="A62" s="606"/>
      <c r="B62" s="302"/>
      <c r="C62" s="401" t="s">
        <v>274</v>
      </c>
      <c r="D62" s="397"/>
      <c r="E62" s="407" t="e">
        <f>IF(E58="through a combination of measurements and calculations (Cdose, Cout og TOC)",-(LN(H16/E61))/F55,IF(E58="by measurements (Cdose, Cin og Cout)",-(LN(H16/E61))/F55,IF(E58="through model calculation (Cdose, TOC)",0.05*H13-0.032*E61-0.017*E61/H13+0.084*H12-0.48,"")))</f>
        <v>#DIV/0!</v>
      </c>
      <c r="F62" s="397"/>
      <c r="G62" s="402"/>
      <c r="H62" s="202"/>
      <c r="I62" s="202"/>
      <c r="J62" s="202"/>
      <c r="K62" s="202"/>
      <c r="L62" s="202"/>
      <c r="M62" s="202"/>
      <c r="N62" s="202"/>
      <c r="O62" s="202"/>
      <c r="P62" s="547"/>
    </row>
    <row r="63" spans="1:16" ht="33" customHeight="1" thickBot="1" x14ac:dyDescent="0.3">
      <c r="A63" s="606"/>
      <c r="B63" s="302"/>
      <c r="C63" s="403" t="s">
        <v>275</v>
      </c>
      <c r="D63" s="406" t="s">
        <v>100</v>
      </c>
      <c r="E63" s="405" t="e">
        <f>(E61/E62)*(1-EXP(-E62*F54))</f>
        <v>#DIV/0!</v>
      </c>
      <c r="F63" s="1006" t="s">
        <v>310</v>
      </c>
      <c r="G63" s="1007"/>
      <c r="H63" s="202"/>
      <c r="I63" s="202"/>
      <c r="J63" s="202"/>
      <c r="K63" s="202"/>
      <c r="L63" s="202"/>
      <c r="M63" s="202"/>
      <c r="N63" s="202"/>
      <c r="O63" s="202"/>
      <c r="P63" s="547"/>
    </row>
    <row r="64" spans="1:16" ht="24" customHeight="1" x14ac:dyDescent="0.25">
      <c r="A64" s="606"/>
      <c r="B64" s="302"/>
      <c r="C64" s="202" t="s">
        <v>399</v>
      </c>
      <c r="D64" s="290"/>
      <c r="E64" s="422"/>
      <c r="F64" s="423"/>
      <c r="G64" s="423"/>
      <c r="H64" s="202"/>
      <c r="I64" s="202"/>
      <c r="J64" s="202"/>
      <c r="K64" s="202"/>
      <c r="L64" s="202"/>
      <c r="M64" s="202"/>
      <c r="N64" s="202"/>
      <c r="O64" s="202"/>
      <c r="P64" s="547"/>
    </row>
    <row r="65" spans="1:16" ht="21" customHeight="1" thickBot="1" x14ac:dyDescent="0.3">
      <c r="A65" s="606"/>
      <c r="B65" s="302"/>
      <c r="C65" s="290"/>
      <c r="D65" s="290"/>
      <c r="E65" s="290"/>
      <c r="F65" s="290"/>
      <c r="G65" s="290"/>
      <c r="H65" s="215"/>
      <c r="I65" s="202"/>
      <c r="J65" s="202"/>
      <c r="K65" s="202"/>
      <c r="L65" s="202"/>
      <c r="M65" s="202"/>
      <c r="N65" s="202"/>
      <c r="O65" s="202"/>
      <c r="P65" s="547"/>
    </row>
    <row r="66" spans="1:16" ht="27.75" customHeight="1" thickBot="1" x14ac:dyDescent="0.3">
      <c r="A66" s="606"/>
      <c r="B66" s="303"/>
      <c r="C66" s="963" t="s">
        <v>398</v>
      </c>
      <c r="D66" s="964"/>
      <c r="E66" s="964"/>
      <c r="F66" s="964"/>
      <c r="G66" s="964"/>
      <c r="H66" s="965"/>
      <c r="I66" s="202"/>
      <c r="J66" s="202"/>
      <c r="K66" s="302"/>
      <c r="L66" s="302"/>
      <c r="M66" s="302"/>
      <c r="N66" s="302"/>
      <c r="O66" s="302"/>
      <c r="P66" s="547"/>
    </row>
    <row r="67" spans="1:16" x14ac:dyDescent="0.25">
      <c r="A67" s="606"/>
      <c r="B67" s="303"/>
      <c r="C67" s="1010"/>
      <c r="D67" s="1011"/>
      <c r="E67" s="666" t="s">
        <v>120</v>
      </c>
      <c r="F67" s="504" t="s">
        <v>55</v>
      </c>
      <c r="G67" s="458" t="s">
        <v>80</v>
      </c>
      <c r="H67" s="459" t="s">
        <v>379</v>
      </c>
      <c r="I67" s="202"/>
      <c r="J67" s="202"/>
      <c r="K67" s="302"/>
      <c r="L67" s="302"/>
      <c r="M67" s="302"/>
      <c r="N67" s="302"/>
      <c r="O67" s="302"/>
      <c r="P67" s="547"/>
    </row>
    <row r="68" spans="1:16" ht="27" customHeight="1" x14ac:dyDescent="0.25">
      <c r="A68" s="606"/>
      <c r="B68" s="303"/>
      <c r="C68" s="988" t="s">
        <v>278</v>
      </c>
      <c r="D68" s="989"/>
      <c r="E68" s="673">
        <v>4</v>
      </c>
      <c r="F68" s="293">
        <v>4</v>
      </c>
      <c r="G68" s="293">
        <v>3</v>
      </c>
      <c r="H68" s="460">
        <v>3</v>
      </c>
      <c r="I68" s="202"/>
      <c r="J68" s="202"/>
      <c r="K68" s="302"/>
      <c r="L68" s="302"/>
      <c r="M68" s="302"/>
      <c r="N68" s="302"/>
      <c r="O68" s="302"/>
      <c r="P68" s="547"/>
    </row>
    <row r="69" spans="1:16" ht="40.5" customHeight="1" x14ac:dyDescent="0.25">
      <c r="A69" s="606"/>
      <c r="B69" s="303"/>
      <c r="C69" s="986" t="s">
        <v>430</v>
      </c>
      <c r="D69" s="987"/>
      <c r="E69" s="293">
        <f>IF($F$9=0,0,3*$E$63/$F$9)</f>
        <v>0</v>
      </c>
      <c r="F69" s="293">
        <f>IF($G$9=0,0,3*$E$63/$G$9)</f>
        <v>0</v>
      </c>
      <c r="G69" s="293">
        <f>IF($H$9=0,0,2*$E$63/$H$9)</f>
        <v>0</v>
      </c>
      <c r="H69" s="460">
        <f>IF($I$9=0,0,2*$E$63/$I$9)</f>
        <v>0</v>
      </c>
      <c r="I69" s="202"/>
      <c r="J69" s="202"/>
      <c r="K69" s="202"/>
      <c r="L69" s="202"/>
      <c r="M69" s="202"/>
      <c r="N69" s="202"/>
      <c r="O69" s="202"/>
      <c r="P69" s="547"/>
    </row>
    <row r="70" spans="1:16" ht="36" customHeight="1" thickBot="1" x14ac:dyDescent="0.3">
      <c r="A70" s="606"/>
      <c r="B70" s="303"/>
      <c r="C70" s="1123" t="s">
        <v>279</v>
      </c>
      <c r="D70" s="1124"/>
      <c r="E70" s="404">
        <f>IF(E69&lt;4,E69,4)</f>
        <v>0</v>
      </c>
      <c r="F70" s="404">
        <f t="shared" ref="F70" si="0">IF(F69&lt;4,F69,4)</f>
        <v>0</v>
      </c>
      <c r="G70" s="404">
        <f>IF(G69&lt;3,G69,3)</f>
        <v>0</v>
      </c>
      <c r="H70" s="474">
        <f>IF(H69&lt;3,H69,3)</f>
        <v>0</v>
      </c>
      <c r="I70" s="136"/>
      <c r="J70" s="136"/>
      <c r="K70" s="136"/>
      <c r="L70" s="136"/>
      <c r="M70" s="136"/>
      <c r="N70" s="136"/>
      <c r="O70" s="136"/>
      <c r="P70" s="547"/>
    </row>
    <row r="71" spans="1:16" ht="27" customHeight="1" thickBot="1" x14ac:dyDescent="0.3">
      <c r="A71" s="606"/>
      <c r="B71" s="303"/>
      <c r="C71" s="303"/>
      <c r="D71" s="303"/>
      <c r="E71" s="303"/>
      <c r="F71" s="303"/>
      <c r="G71" s="303"/>
      <c r="H71" s="303"/>
      <c r="I71" s="303"/>
      <c r="J71" s="303"/>
      <c r="K71" s="303"/>
      <c r="L71" s="303"/>
      <c r="M71" s="303"/>
      <c r="N71" s="303"/>
      <c r="O71" s="303"/>
      <c r="P71" s="602"/>
    </row>
    <row r="72" spans="1:16" ht="55.5" customHeight="1" thickBot="1" x14ac:dyDescent="0.3">
      <c r="A72" s="606"/>
      <c r="B72" s="966" t="s">
        <v>419</v>
      </c>
      <c r="C72" s="967"/>
      <c r="D72" s="967"/>
      <c r="E72" s="967"/>
      <c r="F72" s="967"/>
      <c r="G72" s="967"/>
      <c r="H72" s="967"/>
      <c r="I72" s="967"/>
      <c r="J72" s="968"/>
      <c r="K72" s="303"/>
      <c r="L72" s="303"/>
      <c r="M72" s="303"/>
      <c r="N72" s="303"/>
      <c r="O72" s="303"/>
      <c r="P72" s="602"/>
    </row>
    <row r="73" spans="1:16" ht="23.25" customHeight="1" thickBot="1" x14ac:dyDescent="0.3">
      <c r="A73" s="606"/>
      <c r="B73" s="302"/>
      <c r="C73" s="302"/>
      <c r="D73" s="302"/>
      <c r="E73" s="302"/>
      <c r="F73" s="302"/>
      <c r="G73" s="302"/>
      <c r="H73" s="302"/>
      <c r="I73" s="302"/>
      <c r="J73" s="302"/>
      <c r="K73" s="303"/>
      <c r="L73" s="303"/>
      <c r="M73" s="303"/>
      <c r="N73" s="303"/>
      <c r="O73" s="303"/>
      <c r="P73" s="602"/>
    </row>
    <row r="74" spans="1:16" ht="45" x14ac:dyDescent="0.25">
      <c r="A74" s="606"/>
      <c r="B74" s="294" t="s">
        <v>12</v>
      </c>
      <c r="C74" s="408" t="s">
        <v>420</v>
      </c>
      <c r="D74" s="296" t="s">
        <v>284</v>
      </c>
      <c r="E74" s="372" t="s">
        <v>128</v>
      </c>
      <c r="F74" s="296" t="s">
        <v>283</v>
      </c>
      <c r="G74" s="643" t="s">
        <v>120</v>
      </c>
      <c r="H74" s="297" t="s">
        <v>55</v>
      </c>
      <c r="I74" s="631" t="s">
        <v>80</v>
      </c>
      <c r="J74" s="211" t="s">
        <v>379</v>
      </c>
      <c r="K74" s="303"/>
      <c r="L74" s="303"/>
      <c r="M74" s="303"/>
      <c r="N74" s="303"/>
      <c r="O74" s="303"/>
      <c r="P74" s="602"/>
    </row>
    <row r="75" spans="1:16" ht="30" x14ac:dyDescent="0.25">
      <c r="A75" s="606"/>
      <c r="B75" s="632"/>
      <c r="C75" s="667" t="s">
        <v>291</v>
      </c>
      <c r="D75" s="633">
        <v>0.1</v>
      </c>
      <c r="E75" s="268"/>
      <c r="F75" s="634"/>
      <c r="G75" s="168">
        <f>-D75*E70</f>
        <v>0</v>
      </c>
      <c r="H75" s="168">
        <f>-D75*F70</f>
        <v>0</v>
      </c>
      <c r="I75" s="168">
        <f>-G70*D75</f>
        <v>0</v>
      </c>
      <c r="J75" s="636">
        <f>-H70*D75</f>
        <v>0</v>
      </c>
      <c r="K75" s="303"/>
      <c r="L75" s="303"/>
      <c r="M75" s="303"/>
      <c r="N75" s="303"/>
      <c r="O75" s="303"/>
      <c r="P75" s="602"/>
    </row>
    <row r="76" spans="1:16" ht="28.5" x14ac:dyDescent="0.25">
      <c r="A76" s="606"/>
      <c r="B76" s="265" t="s">
        <v>13</v>
      </c>
      <c r="C76" s="266" t="s">
        <v>281</v>
      </c>
      <c r="D76" s="267">
        <v>0.1</v>
      </c>
      <c r="E76" s="376" t="s">
        <v>129</v>
      </c>
      <c r="F76" s="203">
        <f>IF(E76="no",0,D76)</f>
        <v>0.1</v>
      </c>
      <c r="G76" s="270">
        <f>E70*$F$76</f>
        <v>0</v>
      </c>
      <c r="H76" s="270">
        <f>F70*$F$76</f>
        <v>0</v>
      </c>
      <c r="I76" s="159">
        <f>G70*$F$76</f>
        <v>0</v>
      </c>
      <c r="J76" s="464">
        <f>H70*$F$76</f>
        <v>0</v>
      </c>
      <c r="K76" s="303"/>
      <c r="L76" s="303"/>
      <c r="M76" s="303"/>
      <c r="N76" s="303"/>
      <c r="O76" s="303"/>
      <c r="P76" s="602"/>
    </row>
    <row r="77" spans="1:16" ht="28.5" x14ac:dyDescent="0.25">
      <c r="A77" s="606"/>
      <c r="B77" s="265" t="s">
        <v>14</v>
      </c>
      <c r="C77" s="266" t="s">
        <v>282</v>
      </c>
      <c r="D77" s="267">
        <v>0.05</v>
      </c>
      <c r="E77" s="376" t="s">
        <v>129</v>
      </c>
      <c r="F77" s="203">
        <f>IF(E77="no",0,D77)</f>
        <v>0.05</v>
      </c>
      <c r="G77" s="270">
        <f>E70*$F$77</f>
        <v>0</v>
      </c>
      <c r="H77" s="270">
        <f>F70*$F$77</f>
        <v>0</v>
      </c>
      <c r="I77" s="159">
        <f>G70*$F$77</f>
        <v>0</v>
      </c>
      <c r="J77" s="464">
        <f>H70*$F$77</f>
        <v>0</v>
      </c>
      <c r="K77" s="303"/>
      <c r="L77" s="303"/>
      <c r="M77" s="303"/>
      <c r="N77" s="303"/>
      <c r="O77" s="303"/>
      <c r="P77" s="602"/>
    </row>
    <row r="78" spans="1:16" ht="29.25" customHeight="1" thickBot="1" x14ac:dyDescent="0.3">
      <c r="A78" s="606"/>
      <c r="B78" s="1004" t="s">
        <v>288</v>
      </c>
      <c r="C78" s="1005"/>
      <c r="D78" s="271"/>
      <c r="E78" s="272"/>
      <c r="F78" s="273"/>
      <c r="G78" s="274">
        <f>IF(F76+F77&gt;10%,0,G75+G76+G77)</f>
        <v>0</v>
      </c>
      <c r="H78" s="274">
        <f>IF(F76+F77&gt;10%,0,H75+H76+H77)</f>
        <v>0</v>
      </c>
      <c r="I78" s="274">
        <f>IF(F76+F77&gt;10%,0,I75+I76+I77)</f>
        <v>0</v>
      </c>
      <c r="J78" s="469">
        <f>IF(F76+F77&gt;10%,0,J75+J76+J77)</f>
        <v>0</v>
      </c>
      <c r="K78" s="303"/>
      <c r="L78" s="303"/>
      <c r="M78" s="303"/>
      <c r="N78" s="303"/>
      <c r="O78" s="303"/>
      <c r="P78" s="602"/>
    </row>
    <row r="79" spans="1:16" ht="15.75" thickBot="1" x14ac:dyDescent="0.3">
      <c r="A79" s="606"/>
      <c r="B79" s="202"/>
      <c r="C79" s="291"/>
      <c r="D79" s="291"/>
      <c r="E79" s="215"/>
      <c r="F79" s="276"/>
      <c r="G79" s="202"/>
      <c r="H79" s="202"/>
      <c r="I79" s="202"/>
      <c r="J79" s="302"/>
      <c r="K79" s="303"/>
      <c r="L79" s="303"/>
      <c r="M79" s="303"/>
      <c r="N79" s="303"/>
      <c r="O79" s="303"/>
      <c r="P79" s="602"/>
    </row>
    <row r="80" spans="1:16" ht="45" x14ac:dyDescent="0.25">
      <c r="A80" s="606"/>
      <c r="B80" s="294" t="s">
        <v>15</v>
      </c>
      <c r="C80" s="298" t="s">
        <v>285</v>
      </c>
      <c r="D80" s="295" t="str">
        <f>D74</f>
        <v>% of the Ct-calculated Log-reduction</v>
      </c>
      <c r="E80" s="372" t="s">
        <v>128</v>
      </c>
      <c r="F80" s="646" t="str">
        <f>F74</f>
        <v>Influence on log reduction</v>
      </c>
      <c r="G80" s="643" t="s">
        <v>120</v>
      </c>
      <c r="H80" s="297" t="s">
        <v>55</v>
      </c>
      <c r="I80" s="629" t="s">
        <v>80</v>
      </c>
      <c r="J80" s="211" t="s">
        <v>379</v>
      </c>
      <c r="K80" s="303"/>
      <c r="L80" s="303"/>
      <c r="M80" s="303"/>
      <c r="N80" s="303"/>
      <c r="O80" s="303"/>
      <c r="P80" s="602"/>
    </row>
    <row r="81" spans="1:16" ht="30" x14ac:dyDescent="0.25">
      <c r="A81" s="606"/>
      <c r="B81" s="265"/>
      <c r="C81" s="667" t="s">
        <v>291</v>
      </c>
      <c r="D81" s="267">
        <v>0.15</v>
      </c>
      <c r="E81" s="269"/>
      <c r="F81" s="269"/>
      <c r="G81" s="168">
        <f>-$E$70*$D$81</f>
        <v>0</v>
      </c>
      <c r="H81" s="159">
        <f>-$F$70*$D$81</f>
        <v>0</v>
      </c>
      <c r="I81" s="159">
        <f>-$G$70*$D$81</f>
        <v>0</v>
      </c>
      <c r="J81" s="627">
        <f>-$H$70*$D$81</f>
        <v>0</v>
      </c>
      <c r="K81" s="303"/>
      <c r="L81" s="303"/>
      <c r="M81" s="303"/>
      <c r="N81" s="303"/>
      <c r="O81" s="303"/>
      <c r="P81" s="602"/>
    </row>
    <row r="82" spans="1:16" ht="32.25" customHeight="1" x14ac:dyDescent="0.25">
      <c r="A82" s="606"/>
      <c r="B82" s="265" t="s">
        <v>16</v>
      </c>
      <c r="C82" s="266" t="s">
        <v>286</v>
      </c>
      <c r="D82" s="267">
        <v>0.1</v>
      </c>
      <c r="E82" s="376" t="s">
        <v>129</v>
      </c>
      <c r="F82" s="203">
        <f>IF(E82="no",0,D82)</f>
        <v>0.1</v>
      </c>
      <c r="G82" s="159">
        <f>E70*$F$82</f>
        <v>0</v>
      </c>
      <c r="H82" s="159">
        <f>F70*$F$82</f>
        <v>0</v>
      </c>
      <c r="I82" s="159">
        <f>G70*$F$82</f>
        <v>0</v>
      </c>
      <c r="J82" s="627">
        <f>H70*$F$82</f>
        <v>0</v>
      </c>
      <c r="K82" s="303"/>
      <c r="L82" s="303"/>
      <c r="M82" s="303"/>
      <c r="N82" s="303"/>
      <c r="O82" s="303"/>
      <c r="P82" s="602"/>
    </row>
    <row r="83" spans="1:16" ht="33.75" customHeight="1" x14ac:dyDescent="0.25">
      <c r="A83" s="606"/>
      <c r="B83" s="265" t="s">
        <v>17</v>
      </c>
      <c r="C83" s="266" t="s">
        <v>421</v>
      </c>
      <c r="D83" s="267">
        <v>0.05</v>
      </c>
      <c r="E83" s="376" t="s">
        <v>130</v>
      </c>
      <c r="F83" s="203">
        <f>IF(E83="no",0,D83)</f>
        <v>0</v>
      </c>
      <c r="G83" s="159">
        <f>E70*$F$83</f>
        <v>0</v>
      </c>
      <c r="H83" s="159">
        <f>F70*$F$83</f>
        <v>0</v>
      </c>
      <c r="I83" s="159">
        <f>G70*$F$83</f>
        <v>0</v>
      </c>
      <c r="J83" s="627">
        <f>H70*$F$83</f>
        <v>0</v>
      </c>
      <c r="K83" s="303"/>
      <c r="L83" s="303"/>
      <c r="M83" s="303"/>
      <c r="N83" s="303"/>
      <c r="O83" s="303"/>
      <c r="P83" s="602"/>
    </row>
    <row r="84" spans="1:16" ht="42.75" x14ac:dyDescent="0.25">
      <c r="A84" s="606"/>
      <c r="B84" s="265" t="s">
        <v>18</v>
      </c>
      <c r="C84" s="266" t="s">
        <v>287</v>
      </c>
      <c r="D84" s="267">
        <v>0.1</v>
      </c>
      <c r="E84" s="376" t="s">
        <v>130</v>
      </c>
      <c r="F84" s="203">
        <f>IF(E84="no",0,D84)</f>
        <v>0</v>
      </c>
      <c r="G84" s="159">
        <f>E70*$F$84</f>
        <v>0</v>
      </c>
      <c r="H84" s="159">
        <f>F70*$F$84</f>
        <v>0</v>
      </c>
      <c r="I84" s="159">
        <f>G70*$F$84</f>
        <v>0</v>
      </c>
      <c r="J84" s="627">
        <f>H70*$F$84</f>
        <v>0</v>
      </c>
      <c r="K84" s="303"/>
      <c r="L84" s="303"/>
      <c r="M84" s="303"/>
      <c r="N84" s="303"/>
      <c r="O84" s="303"/>
      <c r="P84" s="602"/>
    </row>
    <row r="85" spans="1:16" ht="27.75" customHeight="1" thickBot="1" x14ac:dyDescent="0.3">
      <c r="A85" s="606"/>
      <c r="B85" s="1004" t="s">
        <v>289</v>
      </c>
      <c r="C85" s="1005"/>
      <c r="D85" s="277"/>
      <c r="E85" s="277"/>
      <c r="F85" s="278"/>
      <c r="G85" s="279">
        <f>IF(SUM(G81:G84)&gt;0,"0.00",SUM(G81:G84))</f>
        <v>0</v>
      </c>
      <c r="H85" s="279">
        <f>IF(SUM(H81:H84)&gt;0,"0.00",SUM(H81:H84))</f>
        <v>0</v>
      </c>
      <c r="I85" s="279">
        <f>IF(SUM(I81:I84)&gt;0,"0.00",SUM(I81:I84))</f>
        <v>0</v>
      </c>
      <c r="J85" s="630">
        <f>IF(SUM(J81:J84)&gt;0,"0.00",SUM(J81:J84))</f>
        <v>0</v>
      </c>
      <c r="K85" s="303"/>
      <c r="L85" s="303"/>
      <c r="M85" s="303"/>
      <c r="N85" s="303"/>
      <c r="O85" s="303"/>
      <c r="P85" s="602"/>
    </row>
    <row r="86" spans="1:16" ht="15.75" thickBot="1" x14ac:dyDescent="0.3">
      <c r="A86" s="606"/>
      <c r="B86" s="280"/>
      <c r="C86" s="291"/>
      <c r="D86" s="291"/>
      <c r="E86" s="291"/>
      <c r="F86" s="291"/>
      <c r="G86" s="281"/>
      <c r="H86" s="281"/>
      <c r="I86" s="475"/>
      <c r="J86" s="302"/>
      <c r="K86" s="303"/>
      <c r="L86" s="303"/>
      <c r="M86" s="303"/>
      <c r="N86" s="303"/>
      <c r="O86" s="303"/>
      <c r="P86" s="602"/>
    </row>
    <row r="87" spans="1:16" ht="45" x14ac:dyDescent="0.25">
      <c r="A87" s="606"/>
      <c r="B87" s="294" t="s">
        <v>19</v>
      </c>
      <c r="C87" s="298" t="s">
        <v>294</v>
      </c>
      <c r="D87" s="296" t="str">
        <f>D80</f>
        <v>% of the Ct-calculated Log-reduction</v>
      </c>
      <c r="E87" s="372" t="s">
        <v>128</v>
      </c>
      <c r="F87" s="296" t="str">
        <f>F74</f>
        <v>Influence on log reduction</v>
      </c>
      <c r="G87" s="643" t="s">
        <v>120</v>
      </c>
      <c r="H87" s="297" t="s">
        <v>55</v>
      </c>
      <c r="I87" s="629" t="s">
        <v>80</v>
      </c>
      <c r="J87" s="211" t="s">
        <v>379</v>
      </c>
      <c r="K87" s="303"/>
      <c r="L87" s="303"/>
      <c r="M87" s="303"/>
      <c r="N87" s="303"/>
      <c r="O87" s="303"/>
      <c r="P87" s="602"/>
    </row>
    <row r="88" spans="1:16" ht="30" x14ac:dyDescent="0.25">
      <c r="A88" s="606"/>
      <c r="B88" s="265"/>
      <c r="C88" s="667" t="s">
        <v>291</v>
      </c>
      <c r="D88" s="267">
        <v>0.1</v>
      </c>
      <c r="E88" s="267"/>
      <c r="F88" s="267"/>
      <c r="G88" s="159">
        <f>-$E$70*$D$88</f>
        <v>0</v>
      </c>
      <c r="H88" s="159">
        <f>-$F$70*$D$88</f>
        <v>0</v>
      </c>
      <c r="I88" s="159">
        <f>-$G$70*$D$88</f>
        <v>0</v>
      </c>
      <c r="J88" s="627">
        <f>-$H$70*$D$88</f>
        <v>0</v>
      </c>
      <c r="K88" s="303"/>
      <c r="L88" s="303"/>
      <c r="M88" s="303"/>
      <c r="N88" s="303"/>
      <c r="O88" s="303"/>
      <c r="P88" s="602"/>
    </row>
    <row r="89" spans="1:16" ht="33.75" customHeight="1" x14ac:dyDescent="0.25">
      <c r="A89" s="606"/>
      <c r="B89" s="265" t="s">
        <v>20</v>
      </c>
      <c r="C89" s="266" t="s">
        <v>292</v>
      </c>
      <c r="D89" s="267">
        <v>0.05</v>
      </c>
      <c r="E89" s="376" t="s">
        <v>129</v>
      </c>
      <c r="F89" s="203">
        <f>IF(E89="no",0,D89)</f>
        <v>0.05</v>
      </c>
      <c r="G89" s="159">
        <f>E70*$F$89</f>
        <v>0</v>
      </c>
      <c r="H89" s="159">
        <f>F70*$F$89</f>
        <v>0</v>
      </c>
      <c r="I89" s="159">
        <f>G70*$F$89</f>
        <v>0</v>
      </c>
      <c r="J89" s="627">
        <f>H70*$F$89</f>
        <v>0</v>
      </c>
      <c r="K89" s="303"/>
      <c r="L89" s="303"/>
      <c r="M89" s="303"/>
      <c r="N89" s="303"/>
      <c r="O89" s="303"/>
      <c r="P89" s="602"/>
    </row>
    <row r="90" spans="1:16" ht="32.25" customHeight="1" x14ac:dyDescent="0.25">
      <c r="A90" s="606"/>
      <c r="B90" s="265" t="s">
        <v>21</v>
      </c>
      <c r="C90" s="266" t="s">
        <v>422</v>
      </c>
      <c r="D90" s="267">
        <v>0.05</v>
      </c>
      <c r="E90" s="376" t="s">
        <v>130</v>
      </c>
      <c r="F90" s="203">
        <f>IF(E90="no",0,D90)</f>
        <v>0</v>
      </c>
      <c r="G90" s="159">
        <f>E70*$F$90</f>
        <v>0</v>
      </c>
      <c r="H90" s="159">
        <f>F70*$F$90</f>
        <v>0</v>
      </c>
      <c r="I90" s="159">
        <f>G70*$F$90</f>
        <v>0</v>
      </c>
      <c r="J90" s="627">
        <f>H70*$F$90</f>
        <v>0</v>
      </c>
      <c r="K90" s="303"/>
      <c r="L90" s="303"/>
      <c r="M90" s="303"/>
      <c r="N90" s="303"/>
      <c r="O90" s="303"/>
      <c r="P90" s="602"/>
    </row>
    <row r="91" spans="1:16" ht="45.75" customHeight="1" x14ac:dyDescent="0.25">
      <c r="A91" s="606"/>
      <c r="B91" s="265" t="s">
        <v>22</v>
      </c>
      <c r="C91" s="266" t="s">
        <v>295</v>
      </c>
      <c r="D91" s="267">
        <v>0.05</v>
      </c>
      <c r="E91" s="376" t="s">
        <v>130</v>
      </c>
      <c r="F91" s="203">
        <f>IF(E91="no",0,D91)</f>
        <v>0</v>
      </c>
      <c r="G91" s="159">
        <f>E70*$F$91</f>
        <v>0</v>
      </c>
      <c r="H91" s="159">
        <f>F70*$F$91</f>
        <v>0</v>
      </c>
      <c r="I91" s="159">
        <f>G70*$F$91</f>
        <v>0</v>
      </c>
      <c r="J91" s="627">
        <f>H70*$F$91</f>
        <v>0</v>
      </c>
      <c r="K91" s="303"/>
      <c r="L91" s="303"/>
      <c r="M91" s="303"/>
      <c r="N91" s="303"/>
      <c r="O91" s="303"/>
      <c r="P91" s="602"/>
    </row>
    <row r="92" spans="1:16" ht="29.25" customHeight="1" thickBot="1" x14ac:dyDescent="0.3">
      <c r="A92" s="606"/>
      <c r="B92" s="1004" t="s">
        <v>290</v>
      </c>
      <c r="C92" s="1005"/>
      <c r="D92" s="282"/>
      <c r="E92" s="282"/>
      <c r="F92" s="283"/>
      <c r="G92" s="274">
        <f>IF(SUM(G88:G91)&gt;0,"0.00",SUM(G88:G91))</f>
        <v>0</v>
      </c>
      <c r="H92" s="274">
        <f>IF(SUM(H88:H91)&gt;0,"0.00",SUM(H88:H91))</f>
        <v>0</v>
      </c>
      <c r="I92" s="274">
        <f>IF(SUM(I88:I91)&gt;0,"0.00",SUM(I88:I91))</f>
        <v>0</v>
      </c>
      <c r="J92" s="275">
        <f>IF(SUM(J88:J91)&gt;0,"0.00",SUM(J88:J91))</f>
        <v>0</v>
      </c>
      <c r="K92" s="303"/>
      <c r="L92" s="303"/>
      <c r="M92" s="303"/>
      <c r="N92" s="303"/>
      <c r="O92" s="303"/>
      <c r="P92" s="602"/>
    </row>
    <row r="93" spans="1:16" ht="15.75" thickBot="1" x14ac:dyDescent="0.3">
      <c r="A93" s="606"/>
      <c r="B93" s="202"/>
      <c r="C93" s="202"/>
      <c r="D93" s="202"/>
      <c r="E93" s="202"/>
      <c r="F93" s="202"/>
      <c r="G93" s="202"/>
      <c r="H93" s="202"/>
      <c r="I93" s="202"/>
      <c r="J93" s="302"/>
      <c r="K93" s="303"/>
      <c r="L93" s="303"/>
      <c r="M93" s="303"/>
      <c r="N93" s="303"/>
      <c r="O93" s="303"/>
      <c r="P93" s="602"/>
    </row>
    <row r="94" spans="1:16" ht="35.25" customHeight="1" x14ac:dyDescent="0.25">
      <c r="A94" s="606"/>
      <c r="B94" s="996" t="s">
        <v>375</v>
      </c>
      <c r="C94" s="997"/>
      <c r="D94" s="997"/>
      <c r="E94" s="997"/>
      <c r="F94" s="997"/>
      <c r="G94" s="643" t="s">
        <v>120</v>
      </c>
      <c r="H94" s="297" t="s">
        <v>55</v>
      </c>
      <c r="I94" s="628" t="s">
        <v>80</v>
      </c>
      <c r="J94" s="211" t="s">
        <v>379</v>
      </c>
      <c r="K94" s="303"/>
      <c r="L94" s="303"/>
      <c r="M94" s="303"/>
      <c r="N94" s="303"/>
      <c r="O94" s="303"/>
      <c r="P94" s="602"/>
    </row>
    <row r="95" spans="1:16" ht="23.25" customHeight="1" x14ac:dyDescent="0.25">
      <c r="A95" s="606"/>
      <c r="B95" s="1014" t="s">
        <v>296</v>
      </c>
      <c r="C95" s="1015"/>
      <c r="D95" s="1015"/>
      <c r="E95" s="1015"/>
      <c r="F95" s="1016"/>
      <c r="G95" s="409">
        <f>E70</f>
        <v>0</v>
      </c>
      <c r="H95" s="476">
        <f>F70</f>
        <v>0</v>
      </c>
      <c r="I95" s="409">
        <f>G70</f>
        <v>0</v>
      </c>
      <c r="J95" s="468">
        <f>H70</f>
        <v>0</v>
      </c>
      <c r="K95" s="303"/>
      <c r="L95" s="303"/>
      <c r="M95" s="303"/>
      <c r="N95" s="303"/>
      <c r="O95" s="303"/>
      <c r="P95" s="602"/>
    </row>
    <row r="96" spans="1:16" ht="25.5" customHeight="1" thickBot="1" x14ac:dyDescent="0.3">
      <c r="A96" s="606"/>
      <c r="B96" s="994" t="s">
        <v>297</v>
      </c>
      <c r="C96" s="995"/>
      <c r="D96" s="995"/>
      <c r="E96" s="995"/>
      <c r="F96" s="995"/>
      <c r="G96" s="698">
        <f>SUM(G78,G85,G92)</f>
        <v>0</v>
      </c>
      <c r="H96" s="698">
        <f>SUM(H78,H85,H92)</f>
        <v>0</v>
      </c>
      <c r="I96" s="698">
        <f>SUM(I78,I85,I92)</f>
        <v>0</v>
      </c>
      <c r="J96" s="701">
        <f>SUM(J78,J85,J92)</f>
        <v>0</v>
      </c>
      <c r="K96" s="303"/>
      <c r="L96" s="303"/>
      <c r="M96" s="303"/>
      <c r="N96" s="303"/>
      <c r="O96" s="303"/>
      <c r="P96" s="602"/>
    </row>
    <row r="97" spans="1:16" ht="50.25" customHeight="1" thickBot="1" x14ac:dyDescent="0.3">
      <c r="A97" s="606"/>
      <c r="B97" s="908" t="s">
        <v>423</v>
      </c>
      <c r="C97" s="909"/>
      <c r="D97" s="909"/>
      <c r="E97" s="909"/>
      <c r="F97" s="910"/>
      <c r="G97" s="696">
        <f>G95+G96</f>
        <v>0</v>
      </c>
      <c r="H97" s="702">
        <f t="shared" ref="H97:I97" si="1">H95+H96</f>
        <v>0</v>
      </c>
      <c r="I97" s="696">
        <f t="shared" si="1"/>
        <v>0</v>
      </c>
      <c r="J97" s="697">
        <f t="shared" ref="J97" si="2">J95+J96</f>
        <v>0</v>
      </c>
      <c r="K97" s="303"/>
      <c r="L97" s="303"/>
      <c r="M97" s="303"/>
      <c r="N97" s="303"/>
      <c r="O97" s="303"/>
      <c r="P97" s="602"/>
    </row>
    <row r="98" spans="1:16" x14ac:dyDescent="0.25">
      <c r="A98" s="606"/>
      <c r="B98" s="303"/>
      <c r="C98" s="303"/>
      <c r="D98" s="303"/>
      <c r="E98" s="303"/>
      <c r="F98" s="303"/>
      <c r="G98" s="303"/>
      <c r="H98" s="303"/>
      <c r="I98" s="303"/>
      <c r="J98" s="303"/>
      <c r="K98" s="303"/>
      <c r="L98" s="303"/>
      <c r="M98" s="303"/>
      <c r="N98" s="303"/>
      <c r="O98" s="303"/>
      <c r="P98" s="602"/>
    </row>
    <row r="99" spans="1:16" x14ac:dyDescent="0.25">
      <c r="A99" s="607"/>
      <c r="B99" s="608"/>
      <c r="C99" s="608"/>
      <c r="D99" s="608"/>
      <c r="E99" s="608"/>
      <c r="F99" s="608"/>
      <c r="G99" s="608"/>
      <c r="H99" s="608"/>
      <c r="I99" s="608"/>
      <c r="J99" s="608"/>
      <c r="K99" s="608"/>
      <c r="L99" s="608"/>
      <c r="M99" s="608"/>
      <c r="N99" s="608"/>
      <c r="O99" s="608"/>
      <c r="P99" s="609"/>
    </row>
  </sheetData>
  <sheetProtection algorithmName="SHA-512" hashValue="2UA1MIxTF0oSTlqC2APQNKnzoYBHpuVWPXPbBr/J3c0tZofmNKKl+/tzlhseAZSUKw+LINxZ9KTXDW+nG+IkZA==" saltValue="sTez0yfAB0hSDjY3zbiCyA==" spinCount="100000" sheet="1" objects="1" scenarios="1"/>
  <mergeCells count="85">
    <mergeCell ref="B72:J72"/>
    <mergeCell ref="B95:F95"/>
    <mergeCell ref="B96:F96"/>
    <mergeCell ref="B97:F97"/>
    <mergeCell ref="B78:C78"/>
    <mergeCell ref="B85:C85"/>
    <mergeCell ref="B92:C92"/>
    <mergeCell ref="B94:F94"/>
    <mergeCell ref="C15:G15"/>
    <mergeCell ref="C20:D20"/>
    <mergeCell ref="C23:D23"/>
    <mergeCell ref="C21:D21"/>
    <mergeCell ref="C22:D22"/>
    <mergeCell ref="C16:G16"/>
    <mergeCell ref="C18:G18"/>
    <mergeCell ref="C17:G17"/>
    <mergeCell ref="F52:G52"/>
    <mergeCell ref="C53:E53"/>
    <mergeCell ref="F53:G53"/>
    <mergeCell ref="C54:E54"/>
    <mergeCell ref="F54:G54"/>
    <mergeCell ref="C50:E50"/>
    <mergeCell ref="F50:G50"/>
    <mergeCell ref="G44:I44"/>
    <mergeCell ref="G45:I45"/>
    <mergeCell ref="C70:D70"/>
    <mergeCell ref="C55:E55"/>
    <mergeCell ref="F55:G55"/>
    <mergeCell ref="C57:G57"/>
    <mergeCell ref="C58:D58"/>
    <mergeCell ref="E58:G58"/>
    <mergeCell ref="F63:G63"/>
    <mergeCell ref="C69:D69"/>
    <mergeCell ref="C67:D67"/>
    <mergeCell ref="C68:D68"/>
    <mergeCell ref="C66:H66"/>
    <mergeCell ref="C52:E52"/>
    <mergeCell ref="J33:O33"/>
    <mergeCell ref="J34:O34"/>
    <mergeCell ref="J35:K35"/>
    <mergeCell ref="D26:E27"/>
    <mergeCell ref="C51:E51"/>
    <mergeCell ref="F51:G51"/>
    <mergeCell ref="G36:I36"/>
    <mergeCell ref="G37:I37"/>
    <mergeCell ref="G38:I38"/>
    <mergeCell ref="G39:I39"/>
    <mergeCell ref="G40:I40"/>
    <mergeCell ref="G41:I41"/>
    <mergeCell ref="G42:I42"/>
    <mergeCell ref="G43:I43"/>
    <mergeCell ref="C46:I46"/>
    <mergeCell ref="C49:G49"/>
    <mergeCell ref="J26:K26"/>
    <mergeCell ref="H27:I27"/>
    <mergeCell ref="J58:N58"/>
    <mergeCell ref="C32:O32"/>
    <mergeCell ref="L35:M35"/>
    <mergeCell ref="N35:O35"/>
    <mergeCell ref="J27:K27"/>
    <mergeCell ref="D28:E28"/>
    <mergeCell ref="F28:G28"/>
    <mergeCell ref="H28:I28"/>
    <mergeCell ref="J28:K28"/>
    <mergeCell ref="C31:K31"/>
    <mergeCell ref="C33:C35"/>
    <mergeCell ref="D33:D35"/>
    <mergeCell ref="E33:F34"/>
    <mergeCell ref="G33:I35"/>
    <mergeCell ref="C25:K25"/>
    <mergeCell ref="C26:C29"/>
    <mergeCell ref="C14:G14"/>
    <mergeCell ref="C12:G12"/>
    <mergeCell ref="C2:D2"/>
    <mergeCell ref="E2:I2"/>
    <mergeCell ref="C3:D3"/>
    <mergeCell ref="E3:I3"/>
    <mergeCell ref="C5:I5"/>
    <mergeCell ref="C7:E8"/>
    <mergeCell ref="C9:E9"/>
    <mergeCell ref="C10:D10"/>
    <mergeCell ref="C11:I11"/>
    <mergeCell ref="C13:G13"/>
    <mergeCell ref="F26:G27"/>
    <mergeCell ref="H26:I26"/>
  </mergeCells>
  <conditionalFormatting sqref="F76:F77 F82:F84 F89:F91">
    <cfRule type="cellIs" dxfId="2" priority="1" operator="greaterThan">
      <formula>0</formula>
    </cfRule>
  </conditionalFormatting>
  <pageMargins left="0.7" right="0.7" top="0.75" bottom="0.75" header="0.3" footer="0.3"/>
  <pageSetup paperSize="9" orientation="portrait"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key!$A$45:$A$47</xm:f>
          </x14:formula1>
          <xm:sqref>E58:G58</xm:sqref>
        </x14:dataValidation>
        <x14:dataValidation type="list" allowBlank="1" showInputMessage="1" showErrorMessage="1">
          <x14:formula1>
            <xm:f>key!$A$40:$A$42</xm:f>
          </x14:formula1>
          <xm:sqref>C9:E9</xm:sqref>
        </x14:dataValidation>
        <x14:dataValidation type="list" allowBlank="1" showInputMessage="1" showErrorMessage="1">
          <x14:formula1>
            <xm:f>key!$A$2</xm:f>
          </x14:formula1>
          <xm:sqref>J36:J45 L36:L45 N36:N45 D36:D45</xm:sqref>
        </x14:dataValidation>
        <x14:dataValidation type="list" allowBlank="1" showInputMessage="1" showErrorMessage="1">
          <x14:formula1>
            <xm:f>key!$A$2:$A$3</xm:f>
          </x14:formula1>
          <xm:sqref>E76:E77 E89:E91 E82:E84</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K26"/>
  <sheetViews>
    <sheetView workbookViewId="0">
      <selection activeCell="G12" sqref="G12"/>
    </sheetView>
  </sheetViews>
  <sheetFormatPr baseColWidth="10" defaultColWidth="11.42578125" defaultRowHeight="15" x14ac:dyDescent="0.25"/>
  <cols>
    <col min="1" max="1" width="3.140625" style="1" customWidth="1"/>
    <col min="2" max="2" width="47.42578125" style="1" customWidth="1"/>
    <col min="3" max="3" width="10.28515625" style="37" customWidth="1"/>
    <col min="4" max="4" width="41.7109375" style="1" customWidth="1"/>
    <col min="5" max="7" width="13.7109375" style="1" customWidth="1"/>
    <col min="8" max="8" width="18.7109375" style="1" customWidth="1"/>
    <col min="9" max="9" width="67" style="1" customWidth="1"/>
    <col min="10" max="10" width="12" style="1" customWidth="1"/>
    <col min="11" max="16384" width="11.42578125" style="1"/>
  </cols>
  <sheetData>
    <row r="1" spans="1:11" ht="15" customHeight="1" x14ac:dyDescent="0.25">
      <c r="A1" s="544"/>
      <c r="B1" s="545"/>
      <c r="C1" s="545"/>
      <c r="D1" s="545"/>
      <c r="E1" s="545"/>
      <c r="F1" s="545"/>
      <c r="G1" s="545"/>
      <c r="H1" s="545"/>
      <c r="I1" s="545"/>
      <c r="J1" s="559"/>
    </row>
    <row r="2" spans="1:11" ht="27.75" x14ac:dyDescent="0.25">
      <c r="A2" s="509"/>
      <c r="B2" s="615" t="s">
        <v>326</v>
      </c>
      <c r="C2" s="302"/>
      <c r="D2" s="302"/>
      <c r="E2" s="302"/>
      <c r="F2" s="302"/>
      <c r="G2" s="302"/>
      <c r="H2" s="302"/>
      <c r="I2" s="302"/>
      <c r="J2" s="547"/>
    </row>
    <row r="3" spans="1:11" ht="18.75" customHeight="1" thickBot="1" x14ac:dyDescent="0.3">
      <c r="A3" s="509"/>
      <c r="B3" s="302"/>
      <c r="C3" s="302"/>
      <c r="D3" s="302"/>
      <c r="E3" s="302"/>
      <c r="F3" s="302"/>
      <c r="G3" s="302"/>
      <c r="H3" s="302"/>
      <c r="I3" s="302"/>
      <c r="J3" s="547"/>
    </row>
    <row r="4" spans="1:11" ht="29.25" customHeight="1" x14ac:dyDescent="0.25">
      <c r="A4" s="509"/>
      <c r="B4" s="345" t="s">
        <v>116</v>
      </c>
      <c r="C4" s="1146" t="str">
        <f>Start!E6</f>
        <v>BB</v>
      </c>
      <c r="D4" s="1147"/>
      <c r="E4" s="347"/>
      <c r="F4" s="347"/>
      <c r="G4" s="347"/>
      <c r="H4" s="347"/>
      <c r="I4" s="347"/>
      <c r="J4" s="547"/>
    </row>
    <row r="5" spans="1:11" ht="30.75" customHeight="1" thickBot="1" x14ac:dyDescent="0.3">
      <c r="A5" s="509"/>
      <c r="B5" s="346" t="s">
        <v>115</v>
      </c>
      <c r="C5" s="1148" t="str">
        <f>Start!E7</f>
        <v>VV</v>
      </c>
      <c r="D5" s="1149"/>
      <c r="E5" s="347"/>
      <c r="F5" s="347"/>
      <c r="G5" s="347"/>
      <c r="H5" s="347"/>
      <c r="I5" s="347"/>
      <c r="J5" s="547"/>
    </row>
    <row r="6" spans="1:11" ht="30.75" customHeight="1" thickBot="1" x14ac:dyDescent="0.3">
      <c r="A6" s="509"/>
      <c r="B6" s="622"/>
      <c r="C6" s="302"/>
      <c r="D6" s="623"/>
      <c r="E6" s="347"/>
      <c r="F6" s="682"/>
      <c r="G6" s="347"/>
      <c r="H6" s="347"/>
      <c r="I6" s="347"/>
      <c r="J6" s="547"/>
    </row>
    <row r="7" spans="1:11" ht="30.95" customHeight="1" x14ac:dyDescent="0.25">
      <c r="A7" s="509"/>
      <c r="B7" s="1137" t="s">
        <v>377</v>
      </c>
      <c r="C7" s="1138"/>
      <c r="D7" s="1139"/>
      <c r="E7" s="1135" t="s">
        <v>120</v>
      </c>
      <c r="F7" s="1135" t="s">
        <v>55</v>
      </c>
      <c r="G7" s="1133" t="s">
        <v>122</v>
      </c>
      <c r="H7" s="1134"/>
      <c r="I7" s="624"/>
      <c r="J7" s="547"/>
    </row>
    <row r="8" spans="1:11" ht="51.95" customHeight="1" thickBot="1" x14ac:dyDescent="0.3">
      <c r="A8" s="509"/>
      <c r="B8" s="1140"/>
      <c r="C8" s="1141"/>
      <c r="D8" s="1142"/>
      <c r="E8" s="1136"/>
      <c r="F8" s="1136"/>
      <c r="G8" s="626" t="s">
        <v>80</v>
      </c>
      <c r="H8" s="519" t="s">
        <v>379</v>
      </c>
      <c r="I8" s="625"/>
      <c r="J8" s="547"/>
    </row>
    <row r="9" spans="1:11" ht="30" customHeight="1" x14ac:dyDescent="0.25">
      <c r="A9" s="509"/>
      <c r="B9" s="616" t="s">
        <v>337</v>
      </c>
      <c r="C9" s="617" t="s">
        <v>12</v>
      </c>
      <c r="D9" s="618"/>
      <c r="E9" s="621">
        <f>Start!$B$20</f>
        <v>0</v>
      </c>
      <c r="F9" s="621">
        <f>Start!$C$20</f>
        <v>0</v>
      </c>
      <c r="G9" s="621">
        <f>Start!$F$20</f>
        <v>0</v>
      </c>
      <c r="H9" s="621">
        <f>Start!$F$20</f>
        <v>0</v>
      </c>
      <c r="I9" s="349" t="s">
        <v>336</v>
      </c>
      <c r="J9" s="547"/>
    </row>
    <row r="10" spans="1:11" ht="30" customHeight="1" x14ac:dyDescent="0.25">
      <c r="A10" s="509"/>
      <c r="B10" s="1154" t="s">
        <v>317</v>
      </c>
      <c r="C10" s="1155" t="s">
        <v>15</v>
      </c>
      <c r="D10" s="348" t="s">
        <v>378</v>
      </c>
      <c r="E10" s="350">
        <f>'Lakes and catchment areas'!I24</f>
        <v>0</v>
      </c>
      <c r="F10" s="350">
        <f>'Lakes and catchment areas'!J24</f>
        <v>0</v>
      </c>
      <c r="G10" s="350">
        <f>'Lakes and catchment areas'!K24</f>
        <v>0</v>
      </c>
      <c r="H10" s="350">
        <f>'Lakes and catchment areas'!K24</f>
        <v>0</v>
      </c>
      <c r="I10" s="349" t="s">
        <v>331</v>
      </c>
      <c r="J10" s="547"/>
      <c r="K10" s="446"/>
    </row>
    <row r="11" spans="1:11" ht="30" customHeight="1" x14ac:dyDescent="0.25">
      <c r="A11" s="509"/>
      <c r="B11" s="1154"/>
      <c r="C11" s="1157"/>
      <c r="D11" s="348" t="s">
        <v>318</v>
      </c>
      <c r="E11" s="350">
        <f>Groundwater!I26</f>
        <v>0</v>
      </c>
      <c r="F11" s="350">
        <f>Groundwater!J26</f>
        <v>0</v>
      </c>
      <c r="G11" s="350">
        <f>Groundwater!K26</f>
        <v>0</v>
      </c>
      <c r="H11" s="350">
        <f>Groundwater!K26</f>
        <v>0</v>
      </c>
      <c r="I11" s="349" t="s">
        <v>332</v>
      </c>
      <c r="J11" s="547"/>
    </row>
    <row r="12" spans="1:11" ht="30" customHeight="1" x14ac:dyDescent="0.25">
      <c r="A12" s="509"/>
      <c r="B12" s="1154"/>
      <c r="C12" s="1156"/>
      <c r="D12" s="348" t="s">
        <v>319</v>
      </c>
      <c r="E12" s="350">
        <f>Infiltration!J13</f>
        <v>0</v>
      </c>
      <c r="F12" s="350">
        <f>Infiltration!K13</f>
        <v>0</v>
      </c>
      <c r="G12" s="350">
        <f>Infiltration!L13</f>
        <v>0</v>
      </c>
      <c r="H12" s="350">
        <f>Infiltration!L13</f>
        <v>0</v>
      </c>
      <c r="I12" s="349" t="s">
        <v>333</v>
      </c>
      <c r="J12" s="547"/>
    </row>
    <row r="13" spans="1:11" ht="30" customHeight="1" x14ac:dyDescent="0.25">
      <c r="A13" s="509"/>
      <c r="B13" s="1154"/>
      <c r="C13" s="1155" t="s">
        <v>19</v>
      </c>
      <c r="D13" s="348" t="s">
        <v>320</v>
      </c>
      <c r="E13" s="351">
        <f>'WT beyond disinf. (process 1)'!I31</f>
        <v>0</v>
      </c>
      <c r="F13" s="351">
        <f>'WT beyond disinf. (process 1)'!J31</f>
        <v>0</v>
      </c>
      <c r="G13" s="351">
        <f>'WT beyond disinf. (process 1)'!K31</f>
        <v>0</v>
      </c>
      <c r="H13" s="351">
        <f>'WT beyond disinf. (process 1)'!K31</f>
        <v>0</v>
      </c>
      <c r="I13" s="349" t="s">
        <v>334</v>
      </c>
      <c r="J13" s="610"/>
    </row>
    <row r="14" spans="1:11" ht="30" customHeight="1" x14ac:dyDescent="0.25">
      <c r="A14" s="509"/>
      <c r="B14" s="1154"/>
      <c r="C14" s="1156"/>
      <c r="D14" s="348" t="s">
        <v>321</v>
      </c>
      <c r="E14" s="457">
        <f>'WT beyond disinf. (process 2)'!I33</f>
        <v>0</v>
      </c>
      <c r="F14" s="457">
        <f>'WT beyond disinf. (process 2)'!J33</f>
        <v>0</v>
      </c>
      <c r="G14" s="457">
        <f>'WT beyond disinf. (process 2)'!K33</f>
        <v>0</v>
      </c>
      <c r="H14" s="481">
        <f>'WT beyond disinf. (process 2)'!K33</f>
        <v>0</v>
      </c>
      <c r="I14" s="349" t="s">
        <v>335</v>
      </c>
      <c r="J14" s="547"/>
    </row>
    <row r="15" spans="1:11" ht="30" customHeight="1" x14ac:dyDescent="0.25">
      <c r="A15" s="509"/>
      <c r="B15" s="616" t="s">
        <v>337</v>
      </c>
      <c r="C15" s="352" t="s">
        <v>25</v>
      </c>
      <c r="D15" s="348" t="s">
        <v>102</v>
      </c>
      <c r="E15" s="353">
        <f>E9-E10-E11-E12-E13-E14</f>
        <v>0</v>
      </c>
      <c r="F15" s="353">
        <f>F9-F10-F11-F12-F13-F14</f>
        <v>0</v>
      </c>
      <c r="G15" s="353">
        <f>G9-G10-G11-G12-G13-G14</f>
        <v>0</v>
      </c>
      <c r="H15" s="353">
        <f>H9-H10-H11-H12-H13-H14</f>
        <v>0</v>
      </c>
      <c r="I15" s="349"/>
      <c r="J15" s="547"/>
      <c r="K15" s="456"/>
    </row>
    <row r="16" spans="1:11" ht="30" customHeight="1" x14ac:dyDescent="0.25">
      <c r="A16" s="509"/>
      <c r="B16" s="1152" t="s">
        <v>338</v>
      </c>
      <c r="C16" s="1150" t="s">
        <v>57</v>
      </c>
      <c r="D16" s="348" t="s">
        <v>322</v>
      </c>
      <c r="E16" s="354">
        <f>UV!K58</f>
        <v>0</v>
      </c>
      <c r="F16" s="354">
        <f>UV!L58</f>
        <v>0</v>
      </c>
      <c r="G16" s="354">
        <f>UV!M58</f>
        <v>0</v>
      </c>
      <c r="H16" s="354">
        <f>UV!M58</f>
        <v>0</v>
      </c>
      <c r="I16" s="349" t="s">
        <v>328</v>
      </c>
      <c r="J16" s="611"/>
      <c r="K16" s="59"/>
    </row>
    <row r="17" spans="1:11" ht="30" customHeight="1" x14ac:dyDescent="0.25">
      <c r="A17" s="509"/>
      <c r="B17" s="1152"/>
      <c r="C17" s="1150"/>
      <c r="D17" s="348" t="s">
        <v>323</v>
      </c>
      <c r="E17" s="354">
        <f>Chlorine!G90</f>
        <v>0</v>
      </c>
      <c r="F17" s="354">
        <f>Chlorine!H90</f>
        <v>0</v>
      </c>
      <c r="G17" s="354">
        <f>Chlorine!I90</f>
        <v>0</v>
      </c>
      <c r="H17" s="354">
        <f>Chlorine!J90</f>
        <v>0</v>
      </c>
      <c r="I17" s="349" t="s">
        <v>329</v>
      </c>
      <c r="J17" s="611"/>
      <c r="K17" s="59"/>
    </row>
    <row r="18" spans="1:11" ht="30" customHeight="1" x14ac:dyDescent="0.25">
      <c r="A18" s="509"/>
      <c r="B18" s="1152"/>
      <c r="C18" s="1150"/>
      <c r="D18" s="348" t="s">
        <v>327</v>
      </c>
      <c r="E18" s="354">
        <f>'Chlorine dioxide'!G87</f>
        <v>0</v>
      </c>
      <c r="F18" s="354">
        <f>'Chlorine dioxide'!H87</f>
        <v>0</v>
      </c>
      <c r="G18" s="354">
        <f>'Chlorine dioxide'!I87</f>
        <v>0</v>
      </c>
      <c r="H18" s="354">
        <f>'Chlorine dioxide'!J87</f>
        <v>0</v>
      </c>
      <c r="I18" s="349" t="s">
        <v>383</v>
      </c>
      <c r="J18" s="611"/>
      <c r="K18" s="59"/>
    </row>
    <row r="19" spans="1:11" ht="30" customHeight="1" thickBot="1" x14ac:dyDescent="0.3">
      <c r="A19" s="509"/>
      <c r="B19" s="1153"/>
      <c r="C19" s="1151"/>
      <c r="D19" s="355" t="s">
        <v>324</v>
      </c>
      <c r="E19" s="704">
        <f>Ozone!G97</f>
        <v>0</v>
      </c>
      <c r="F19" s="704">
        <f>Ozone!H97</f>
        <v>0</v>
      </c>
      <c r="G19" s="704">
        <f>Ozone!I97</f>
        <v>0</v>
      </c>
      <c r="H19" s="704">
        <f>Ozone!J97</f>
        <v>0</v>
      </c>
      <c r="I19" s="349" t="s">
        <v>330</v>
      </c>
      <c r="J19" s="611"/>
      <c r="K19" s="59"/>
    </row>
    <row r="20" spans="1:11" ht="46.5" customHeight="1" thickBot="1" x14ac:dyDescent="0.3">
      <c r="A20" s="509"/>
      <c r="B20" s="1143" t="s">
        <v>325</v>
      </c>
      <c r="C20" s="1144"/>
      <c r="D20" s="1145"/>
      <c r="E20" s="703">
        <f>SUM(E16:E19)-E15</f>
        <v>0</v>
      </c>
      <c r="F20" s="703">
        <f>SUM(F16:F19)-F15</f>
        <v>0</v>
      </c>
      <c r="G20" s="703">
        <f>SUM(G16:G19)-G15</f>
        <v>0</v>
      </c>
      <c r="H20" s="703">
        <f>SUM(H16:H19)-H15</f>
        <v>0</v>
      </c>
      <c r="I20" s="620" t="s">
        <v>339</v>
      </c>
      <c r="J20" s="547"/>
      <c r="K20" s="619"/>
    </row>
    <row r="21" spans="1:11" x14ac:dyDescent="0.25">
      <c r="A21" s="509"/>
      <c r="B21" s="302"/>
      <c r="C21" s="584"/>
      <c r="D21" s="302"/>
      <c r="E21" s="303"/>
      <c r="F21" s="303"/>
      <c r="G21" s="303"/>
      <c r="H21" s="303"/>
      <c r="I21" s="302"/>
      <c r="J21" s="547"/>
    </row>
    <row r="22" spans="1:11" x14ac:dyDescent="0.25">
      <c r="A22" s="509"/>
      <c r="B22" s="612"/>
      <c r="C22" s="613"/>
      <c r="D22" s="302"/>
      <c r="E22" s="303"/>
      <c r="F22" s="303"/>
      <c r="G22" s="303"/>
      <c r="H22" s="303"/>
      <c r="I22" s="302"/>
      <c r="J22" s="547"/>
    </row>
    <row r="23" spans="1:11" x14ac:dyDescent="0.25">
      <c r="A23" s="554"/>
      <c r="B23" s="555"/>
      <c r="C23" s="614"/>
      <c r="D23" s="555"/>
      <c r="E23" s="608"/>
      <c r="F23" s="608"/>
      <c r="G23" s="608"/>
      <c r="H23" s="608"/>
      <c r="I23" s="555"/>
      <c r="J23" s="556"/>
    </row>
    <row r="26" spans="1:11" x14ac:dyDescent="0.2">
      <c r="B26" s="60"/>
      <c r="C26" s="85"/>
    </row>
  </sheetData>
  <sheetProtection sheet="1" selectLockedCells="1"/>
  <mergeCells count="12">
    <mergeCell ref="C4:D4"/>
    <mergeCell ref="C5:D5"/>
    <mergeCell ref="C16:C19"/>
    <mergeCell ref="B16:B19"/>
    <mergeCell ref="B10:B14"/>
    <mergeCell ref="C13:C14"/>
    <mergeCell ref="C10:C12"/>
    <mergeCell ref="G7:H7"/>
    <mergeCell ref="E7:E8"/>
    <mergeCell ref="F7:F8"/>
    <mergeCell ref="B7:D8"/>
    <mergeCell ref="B20:D20"/>
  </mergeCells>
  <phoneticPr fontId="4" type="noConversion"/>
  <conditionalFormatting sqref="E20">
    <cfRule type="cellIs" dxfId="1" priority="2" operator="lessThan">
      <formula>0</formula>
    </cfRule>
  </conditionalFormatting>
  <conditionalFormatting sqref="F20:H20">
    <cfRule type="cellIs" dxfId="0" priority="1" operator="lessThan">
      <formula>0</formula>
    </cfRule>
  </conditionalFormatting>
  <pageMargins left="0.78740157480314965" right="0.78740157480314965" top="1.1811023622047245" bottom="0.98425196850393704" header="0.51181102362204722" footer="0.51181102362204722"/>
  <pageSetup paperSize="9" scale="83" orientation="landscape"/>
  <headerFooter>
    <oddHeader>&amp;L&amp;"Times New Roman,Halvfet"&amp;16Microbial barrier analysis (MBA)
Operational tool&amp;"Times New Roman,Normal"&amp;11
&amp;C&amp;"Times New Roman,Halvfet"&amp;16&amp;A&amp;R&amp;"Times New Roman,Halvfet"&amp;16Page &amp;P of &amp;N
&amp;D</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B1:E23"/>
  <sheetViews>
    <sheetView workbookViewId="0">
      <selection activeCell="K25" sqref="K25"/>
    </sheetView>
  </sheetViews>
  <sheetFormatPr baseColWidth="10" defaultColWidth="10.7109375" defaultRowHeight="15" x14ac:dyDescent="0.25"/>
  <cols>
    <col min="1" max="1" width="4" style="1" customWidth="1"/>
    <col min="2" max="2" width="57.7109375" style="1" customWidth="1"/>
    <col min="3" max="16384" width="10.7109375" style="1"/>
  </cols>
  <sheetData>
    <row r="1" spans="2:5" ht="15.75" thickBot="1" x14ac:dyDescent="0.3"/>
    <row r="2" spans="2:5" ht="16.5" thickBot="1" x14ac:dyDescent="0.3">
      <c r="B2" s="1158" t="s">
        <v>43</v>
      </c>
      <c r="C2" s="1159"/>
      <c r="D2" s="1159"/>
      <c r="E2" s="1160"/>
    </row>
    <row r="3" spans="2:5" ht="16.5" thickBot="1" x14ac:dyDescent="0.3">
      <c r="B3" s="145" t="s">
        <v>42</v>
      </c>
      <c r="C3" s="36" t="s">
        <v>37</v>
      </c>
      <c r="D3" s="36" t="s">
        <v>36</v>
      </c>
      <c r="E3" s="35" t="s">
        <v>56</v>
      </c>
    </row>
    <row r="4" spans="2:5" x14ac:dyDescent="0.25">
      <c r="B4" s="33" t="s">
        <v>35</v>
      </c>
      <c r="C4" s="21"/>
      <c r="D4" s="20"/>
      <c r="E4" s="19"/>
    </row>
    <row r="5" spans="2:5" x14ac:dyDescent="0.25">
      <c r="B5" s="34" t="s">
        <v>33</v>
      </c>
      <c r="C5" s="12">
        <v>3</v>
      </c>
      <c r="D5" s="11">
        <v>3</v>
      </c>
      <c r="E5" s="10">
        <v>2</v>
      </c>
    </row>
    <row r="6" spans="2:5" x14ac:dyDescent="0.25">
      <c r="B6" s="38" t="s">
        <v>44</v>
      </c>
      <c r="C6" s="39">
        <v>3</v>
      </c>
      <c r="D6" s="40">
        <v>3</v>
      </c>
      <c r="E6" s="41">
        <v>2</v>
      </c>
    </row>
    <row r="7" spans="2:5" ht="15.75" thickBot="1" x14ac:dyDescent="0.3">
      <c r="B7" s="42" t="s">
        <v>4</v>
      </c>
      <c r="C7" s="43">
        <v>1</v>
      </c>
      <c r="D7" s="44">
        <v>1</v>
      </c>
      <c r="E7" s="45">
        <v>0.75</v>
      </c>
    </row>
    <row r="8" spans="2:5" x14ac:dyDescent="0.25">
      <c r="B8" s="33" t="s">
        <v>3</v>
      </c>
      <c r="C8" s="32"/>
      <c r="D8" s="31"/>
      <c r="E8" s="30"/>
    </row>
    <row r="9" spans="2:5" x14ac:dyDescent="0.25">
      <c r="B9" s="13" t="s">
        <v>2</v>
      </c>
      <c r="C9" s="12">
        <v>3</v>
      </c>
      <c r="D9" s="11">
        <v>3</v>
      </c>
      <c r="E9" s="10">
        <v>2</v>
      </c>
    </row>
    <row r="10" spans="2:5" x14ac:dyDescent="0.25">
      <c r="B10" s="9" t="s">
        <v>40</v>
      </c>
      <c r="C10" s="29">
        <v>1</v>
      </c>
      <c r="D10" s="28">
        <v>1</v>
      </c>
      <c r="E10" s="27">
        <v>0.75</v>
      </c>
    </row>
    <row r="11" spans="2:5" x14ac:dyDescent="0.25">
      <c r="B11" s="13" t="s">
        <v>41</v>
      </c>
      <c r="C11" s="12">
        <v>2</v>
      </c>
      <c r="D11" s="11">
        <v>2</v>
      </c>
      <c r="E11" s="10">
        <v>1.5</v>
      </c>
    </row>
    <row r="12" spans="2:5" ht="15.75" thickBot="1" x14ac:dyDescent="0.3">
      <c r="B12" s="26" t="s">
        <v>40</v>
      </c>
      <c r="C12" s="25">
        <v>1</v>
      </c>
      <c r="D12" s="24">
        <v>1</v>
      </c>
      <c r="E12" s="23">
        <v>0.75</v>
      </c>
    </row>
    <row r="13" spans="2:5" x14ac:dyDescent="0.25">
      <c r="B13" s="22" t="s">
        <v>39</v>
      </c>
      <c r="C13" s="21"/>
      <c r="D13" s="20"/>
      <c r="E13" s="19"/>
    </row>
    <row r="14" spans="2:5" ht="45.75" thickBot="1" x14ac:dyDescent="0.3">
      <c r="B14" s="18" t="s">
        <v>38</v>
      </c>
      <c r="C14" s="4">
        <v>1</v>
      </c>
      <c r="D14" s="3">
        <v>1</v>
      </c>
      <c r="E14" s="2">
        <v>0.75</v>
      </c>
    </row>
    <row r="15" spans="2:5" x14ac:dyDescent="0.25">
      <c r="B15" s="33" t="s">
        <v>1</v>
      </c>
      <c r="C15" s="16"/>
      <c r="D15" s="15"/>
      <c r="E15" s="14"/>
    </row>
    <row r="16" spans="2:5" x14ac:dyDescent="0.25">
      <c r="B16" s="52" t="s">
        <v>0</v>
      </c>
      <c r="C16" s="46">
        <v>3</v>
      </c>
      <c r="D16" s="47">
        <v>3</v>
      </c>
      <c r="E16" s="48">
        <v>3</v>
      </c>
    </row>
    <row r="17" spans="2:5" ht="15.75" thickBot="1" x14ac:dyDescent="0.3">
      <c r="B17" s="53" t="s">
        <v>11</v>
      </c>
      <c r="C17" s="49">
        <v>1</v>
      </c>
      <c r="D17" s="50">
        <v>1</v>
      </c>
      <c r="E17" s="51">
        <v>0.75</v>
      </c>
    </row>
    <row r="18" spans="2:5" ht="38.25" x14ac:dyDescent="0.25">
      <c r="B18" s="17" t="s">
        <v>10</v>
      </c>
      <c r="C18" s="16"/>
      <c r="D18" s="15"/>
      <c r="E18" s="14"/>
    </row>
    <row r="19" spans="2:5" x14ac:dyDescent="0.25">
      <c r="B19" s="13" t="s">
        <v>9</v>
      </c>
      <c r="C19" s="12">
        <v>6</v>
      </c>
      <c r="D19" s="11">
        <v>6</v>
      </c>
      <c r="E19" s="10">
        <v>4</v>
      </c>
    </row>
    <row r="20" spans="2:5" x14ac:dyDescent="0.25">
      <c r="B20" s="13" t="s">
        <v>8</v>
      </c>
      <c r="C20" s="12">
        <v>6</v>
      </c>
      <c r="D20" s="11">
        <v>6</v>
      </c>
      <c r="E20" s="10">
        <v>4</v>
      </c>
    </row>
    <row r="21" spans="2:5" x14ac:dyDescent="0.25">
      <c r="B21" s="9" t="s">
        <v>7</v>
      </c>
      <c r="C21" s="8">
        <v>6</v>
      </c>
      <c r="D21" s="7">
        <v>6</v>
      </c>
      <c r="E21" s="6">
        <v>4</v>
      </c>
    </row>
    <row r="22" spans="2:5" x14ac:dyDescent="0.25">
      <c r="B22" s="9" t="s">
        <v>6</v>
      </c>
      <c r="C22" s="8">
        <v>5</v>
      </c>
      <c r="D22" s="7">
        <v>5</v>
      </c>
      <c r="E22" s="6">
        <v>3.5</v>
      </c>
    </row>
    <row r="23" spans="2:5" ht="15.75" thickBot="1" x14ac:dyDescent="0.3">
      <c r="B23" s="5" t="s">
        <v>5</v>
      </c>
      <c r="C23" s="4">
        <v>4.5</v>
      </c>
      <c r="D23" s="3">
        <v>4.5</v>
      </c>
      <c r="E23" s="2">
        <v>3</v>
      </c>
    </row>
  </sheetData>
  <sheetProtection algorithmName="SHA-512" hashValue="8XtP0IIa0idycAhzcPtkQULBouP6/oBr5q4vSW/AoKFOfz1eoxGrVmfuYPsi8MPp7xSO8NCzpWByoWo8yZUW0w==" saltValue="uFsLIIcGKsG6KOTZbN+ItQ==" spinCount="100000" sheet="1" selectLockedCells="1"/>
  <mergeCells count="1">
    <mergeCell ref="B2:E2"/>
  </mergeCells>
  <phoneticPr fontId="4" type="noConversion"/>
  <pageMargins left="0.78740157480314965" right="0.78740157480314965" top="0.98425196850393704" bottom="0.98425196850393704" header="0" footer="0"/>
  <pageSetup paperSize="9" orientation="landscape"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2:H47"/>
  <sheetViews>
    <sheetView topLeftCell="A21" zoomScale="130" zoomScaleNormal="130" zoomScalePageLayoutView="130" workbookViewId="0">
      <selection activeCell="A46" sqref="A46"/>
    </sheetView>
  </sheetViews>
  <sheetFormatPr baseColWidth="10" defaultColWidth="11.42578125" defaultRowHeight="15" x14ac:dyDescent="0.25"/>
  <cols>
    <col min="1" max="1" width="47.28515625" style="62" customWidth="1"/>
    <col min="3" max="3" width="45" customWidth="1"/>
    <col min="5" max="5" width="45.7109375" customWidth="1"/>
    <col min="7" max="7" width="40" customWidth="1"/>
    <col min="9" max="10" width="25.7109375" customWidth="1"/>
  </cols>
  <sheetData>
    <row r="2" spans="1:8" x14ac:dyDescent="0.25">
      <c r="A2" s="62" t="s">
        <v>129</v>
      </c>
    </row>
    <row r="3" spans="1:8" ht="15" customHeight="1" thickBot="1" x14ac:dyDescent="0.3">
      <c r="A3" s="62" t="s">
        <v>130</v>
      </c>
    </row>
    <row r="4" spans="1:8" ht="15" customHeight="1" x14ac:dyDescent="0.25">
      <c r="A4" s="99" t="s">
        <v>92</v>
      </c>
      <c r="B4" s="100"/>
      <c r="C4" s="100"/>
      <c r="D4" s="100"/>
      <c r="E4" s="100"/>
      <c r="F4" s="101"/>
      <c r="G4" s="656"/>
    </row>
    <row r="5" spans="1:8" ht="15" customHeight="1" x14ac:dyDescent="0.25">
      <c r="A5" s="102"/>
      <c r="B5" s="103" t="s">
        <v>120</v>
      </c>
      <c r="C5" s="104"/>
      <c r="D5" s="103" t="s">
        <v>55</v>
      </c>
      <c r="E5" s="104"/>
      <c r="F5" s="105" t="s">
        <v>122</v>
      </c>
      <c r="G5" s="657"/>
      <c r="H5" s="104"/>
    </row>
    <row r="6" spans="1:8" ht="33.75" customHeight="1" x14ac:dyDescent="0.25">
      <c r="A6" s="106" t="s">
        <v>179</v>
      </c>
      <c r="B6" s="104"/>
      <c r="C6" s="658" t="s">
        <v>179</v>
      </c>
      <c r="D6" s="104"/>
      <c r="E6" s="658" t="s">
        <v>179</v>
      </c>
      <c r="F6" s="107"/>
      <c r="G6" s="656"/>
    </row>
    <row r="7" spans="1:8" ht="15" customHeight="1" x14ac:dyDescent="0.25">
      <c r="A7" s="112" t="s">
        <v>384</v>
      </c>
      <c r="B7" s="86">
        <v>0</v>
      </c>
      <c r="C7" s="112" t="s">
        <v>384</v>
      </c>
      <c r="D7" s="86">
        <v>0</v>
      </c>
      <c r="E7" s="112" t="s">
        <v>384</v>
      </c>
      <c r="F7" s="113">
        <v>0</v>
      </c>
    </row>
    <row r="8" spans="1:8" ht="27.75" customHeight="1" x14ac:dyDescent="0.25">
      <c r="A8" s="108" t="s">
        <v>187</v>
      </c>
      <c r="B8" s="71">
        <v>4</v>
      </c>
      <c r="C8" s="108" t="s">
        <v>187</v>
      </c>
      <c r="D8" s="65">
        <v>3.5</v>
      </c>
      <c r="E8" s="108" t="s">
        <v>187</v>
      </c>
      <c r="F8" s="66">
        <v>4</v>
      </c>
    </row>
    <row r="9" spans="1:8" ht="20.25" customHeight="1" x14ac:dyDescent="0.25">
      <c r="A9" s="108" t="s">
        <v>186</v>
      </c>
      <c r="B9" s="71">
        <v>4</v>
      </c>
      <c r="C9" s="108" t="s">
        <v>186</v>
      </c>
      <c r="D9" s="65">
        <v>1.25</v>
      </c>
      <c r="E9" s="108" t="s">
        <v>186</v>
      </c>
      <c r="F9" s="66">
        <v>4</v>
      </c>
    </row>
    <row r="10" spans="1:8" ht="20.25" customHeight="1" x14ac:dyDescent="0.25">
      <c r="A10" s="108" t="s">
        <v>180</v>
      </c>
      <c r="B10" s="71">
        <v>3</v>
      </c>
      <c r="C10" s="108" t="s">
        <v>180</v>
      </c>
      <c r="D10" s="65">
        <v>2.5</v>
      </c>
      <c r="E10" s="108" t="s">
        <v>180</v>
      </c>
      <c r="F10" s="66">
        <v>3</v>
      </c>
    </row>
    <row r="11" spans="1:8" ht="18" x14ac:dyDescent="0.25">
      <c r="A11" s="108" t="s">
        <v>181</v>
      </c>
      <c r="B11" s="71">
        <v>3</v>
      </c>
      <c r="C11" s="108" t="s">
        <v>181</v>
      </c>
      <c r="D11" s="65">
        <v>0.75</v>
      </c>
      <c r="E11" s="108" t="s">
        <v>181</v>
      </c>
      <c r="F11" s="66">
        <v>3</v>
      </c>
    </row>
    <row r="12" spans="1:8" x14ac:dyDescent="0.25">
      <c r="A12" s="108"/>
      <c r="B12" s="71"/>
      <c r="C12" s="108"/>
      <c r="D12" s="65"/>
      <c r="E12" s="108"/>
      <c r="F12" s="66"/>
    </row>
    <row r="13" spans="1:8" ht="18" x14ac:dyDescent="0.25">
      <c r="A13" s="108" t="s">
        <v>184</v>
      </c>
      <c r="B13" s="71">
        <v>3.5</v>
      </c>
      <c r="C13" s="108" t="s">
        <v>184</v>
      </c>
      <c r="D13" s="65">
        <v>3</v>
      </c>
      <c r="E13" s="108" t="s">
        <v>184</v>
      </c>
      <c r="F13" s="66">
        <v>3.5</v>
      </c>
    </row>
    <row r="14" spans="1:8" ht="20.25" customHeight="1" x14ac:dyDescent="0.25">
      <c r="A14" s="108" t="s">
        <v>185</v>
      </c>
      <c r="B14" s="71">
        <v>3.5</v>
      </c>
      <c r="C14" s="108" t="s">
        <v>185</v>
      </c>
      <c r="D14" s="65">
        <v>1</v>
      </c>
      <c r="E14" s="108" t="s">
        <v>185</v>
      </c>
      <c r="F14" s="66">
        <v>3.5</v>
      </c>
    </row>
    <row r="15" spans="1:8" ht="19.5" customHeight="1" x14ac:dyDescent="0.25">
      <c r="A15" s="108" t="s">
        <v>182</v>
      </c>
      <c r="B15" s="71">
        <v>3</v>
      </c>
      <c r="C15" s="108" t="s">
        <v>182</v>
      </c>
      <c r="D15" s="65">
        <v>2.5</v>
      </c>
      <c r="E15" s="108" t="s">
        <v>182</v>
      </c>
      <c r="F15" s="66">
        <v>3</v>
      </c>
    </row>
    <row r="16" spans="1:8" ht="18.75" thickBot="1" x14ac:dyDescent="0.3">
      <c r="A16" s="109" t="s">
        <v>183</v>
      </c>
      <c r="B16" s="72">
        <v>3</v>
      </c>
      <c r="C16" s="109" t="s">
        <v>183</v>
      </c>
      <c r="D16" s="67">
        <v>0.75</v>
      </c>
      <c r="E16" s="109" t="s">
        <v>183</v>
      </c>
      <c r="F16" s="68">
        <v>3</v>
      </c>
      <c r="G16" s="73"/>
    </row>
    <row r="18" spans="1:8" ht="15.75" thickBot="1" x14ac:dyDescent="0.3">
      <c r="A18" s="131" t="s">
        <v>79</v>
      </c>
    </row>
    <row r="19" spans="1:8" x14ac:dyDescent="0.25">
      <c r="A19" s="114"/>
      <c r="B19" s="100"/>
      <c r="C19" s="100"/>
      <c r="D19" s="100"/>
      <c r="E19" s="100"/>
      <c r="F19" s="100"/>
      <c r="G19" s="100"/>
      <c r="H19" s="101"/>
    </row>
    <row r="20" spans="1:8" x14ac:dyDescent="0.25">
      <c r="A20" s="115" t="s">
        <v>191</v>
      </c>
      <c r="B20" s="104"/>
      <c r="C20" s="104"/>
      <c r="D20" s="104"/>
      <c r="E20" s="104"/>
      <c r="F20" s="104"/>
      <c r="G20" s="104"/>
      <c r="H20" s="107"/>
    </row>
    <row r="21" spans="1:8" x14ac:dyDescent="0.25">
      <c r="A21" s="1161" t="s">
        <v>120</v>
      </c>
      <c r="B21" s="1162"/>
      <c r="C21" s="1163" t="s">
        <v>121</v>
      </c>
      <c r="D21" s="1162"/>
      <c r="E21" s="1163" t="s">
        <v>188</v>
      </c>
      <c r="F21" s="1162"/>
      <c r="G21" s="1163" t="s">
        <v>189</v>
      </c>
      <c r="H21" s="1164"/>
    </row>
    <row r="22" spans="1:8" x14ac:dyDescent="0.25">
      <c r="A22" s="116" t="s">
        <v>190</v>
      </c>
      <c r="B22" s="86">
        <v>0</v>
      </c>
      <c r="C22" s="116" t="s">
        <v>190</v>
      </c>
      <c r="D22" s="86">
        <v>0</v>
      </c>
      <c r="E22" s="116" t="s">
        <v>190</v>
      </c>
      <c r="F22" s="86">
        <v>0</v>
      </c>
      <c r="G22" s="116" t="s">
        <v>190</v>
      </c>
      <c r="H22" s="113">
        <v>0</v>
      </c>
    </row>
    <row r="23" spans="1:8" x14ac:dyDescent="0.25">
      <c r="A23" s="117" t="s">
        <v>385</v>
      </c>
      <c r="B23" s="81">
        <v>1</v>
      </c>
      <c r="C23" s="117" t="s">
        <v>385</v>
      </c>
      <c r="D23" s="83">
        <v>4</v>
      </c>
      <c r="E23" s="117" t="s">
        <v>385</v>
      </c>
      <c r="F23" s="79">
        <v>75</v>
      </c>
      <c r="G23" s="117" t="s">
        <v>385</v>
      </c>
      <c r="H23" s="118">
        <v>1000</v>
      </c>
    </row>
    <row r="24" spans="1:8" x14ac:dyDescent="0.25">
      <c r="A24" s="119" t="s">
        <v>386</v>
      </c>
      <c r="B24" s="82">
        <v>1.5</v>
      </c>
      <c r="C24" s="119" t="s">
        <v>386</v>
      </c>
      <c r="D24" s="84">
        <v>6</v>
      </c>
      <c r="E24" s="119" t="s">
        <v>386</v>
      </c>
      <c r="F24" s="80">
        <v>100</v>
      </c>
      <c r="G24" s="119" t="s">
        <v>386</v>
      </c>
      <c r="H24" s="110">
        <v>1000</v>
      </c>
    </row>
    <row r="25" spans="1:8" x14ac:dyDescent="0.25">
      <c r="A25" s="119" t="s">
        <v>387</v>
      </c>
      <c r="B25" s="82">
        <v>2</v>
      </c>
      <c r="C25" s="119" t="s">
        <v>387</v>
      </c>
      <c r="D25" s="84">
        <v>8</v>
      </c>
      <c r="E25" s="119" t="s">
        <v>387</v>
      </c>
      <c r="F25" s="80">
        <v>175</v>
      </c>
      <c r="G25" s="119" t="s">
        <v>387</v>
      </c>
      <c r="H25" s="110">
        <v>1000</v>
      </c>
    </row>
    <row r="26" spans="1:8" x14ac:dyDescent="0.25">
      <c r="A26" s="117" t="s">
        <v>388</v>
      </c>
      <c r="B26" s="81">
        <v>1.5</v>
      </c>
      <c r="C26" s="117" t="s">
        <v>388</v>
      </c>
      <c r="D26" s="83">
        <v>6</v>
      </c>
      <c r="E26" s="117" t="s">
        <v>388</v>
      </c>
      <c r="F26" s="79">
        <v>100</v>
      </c>
      <c r="G26" s="117" t="s">
        <v>388</v>
      </c>
      <c r="H26" s="118">
        <v>1000</v>
      </c>
    </row>
    <row r="27" spans="1:8" x14ac:dyDescent="0.25">
      <c r="A27" s="119" t="s">
        <v>389</v>
      </c>
      <c r="B27" s="82">
        <v>2</v>
      </c>
      <c r="C27" s="119" t="s">
        <v>389</v>
      </c>
      <c r="D27" s="84">
        <v>9</v>
      </c>
      <c r="E27" s="119" t="s">
        <v>389</v>
      </c>
      <c r="F27" s="80">
        <v>150</v>
      </c>
      <c r="G27" s="119" t="s">
        <v>389</v>
      </c>
      <c r="H27" s="110">
        <v>1000</v>
      </c>
    </row>
    <row r="28" spans="1:8" ht="15.75" thickBot="1" x14ac:dyDescent="0.3">
      <c r="A28" s="120" t="s">
        <v>390</v>
      </c>
      <c r="B28" s="307">
        <v>3</v>
      </c>
      <c r="C28" s="120" t="s">
        <v>390</v>
      </c>
      <c r="D28" s="121">
        <v>12</v>
      </c>
      <c r="E28" s="120" t="s">
        <v>390</v>
      </c>
      <c r="F28" s="308">
        <v>250</v>
      </c>
      <c r="G28" s="120" t="s">
        <v>390</v>
      </c>
      <c r="H28" s="122">
        <v>1000</v>
      </c>
    </row>
    <row r="29" spans="1:8" ht="15.75" thickBot="1" x14ac:dyDescent="0.3"/>
    <row r="30" spans="1:8" x14ac:dyDescent="0.25">
      <c r="A30" s="114"/>
      <c r="B30" s="100"/>
      <c r="C30" s="100"/>
      <c r="D30" s="100"/>
      <c r="E30" s="100"/>
      <c r="F30" s="100"/>
      <c r="G30" s="100"/>
      <c r="H30" s="101"/>
    </row>
    <row r="31" spans="1:8" x14ac:dyDescent="0.25">
      <c r="A31" s="115" t="s">
        <v>191</v>
      </c>
      <c r="B31" s="104"/>
      <c r="C31" s="104"/>
      <c r="D31" s="104"/>
      <c r="E31" s="104"/>
      <c r="F31" s="104"/>
      <c r="G31" s="104"/>
      <c r="H31" s="107"/>
    </row>
    <row r="32" spans="1:8" ht="15" customHeight="1" x14ac:dyDescent="0.25">
      <c r="A32" s="1161" t="s">
        <v>120</v>
      </c>
      <c r="B32" s="1162"/>
      <c r="C32" s="1163" t="s">
        <v>121</v>
      </c>
      <c r="D32" s="1162"/>
      <c r="E32" s="1163" t="s">
        <v>188</v>
      </c>
      <c r="F32" s="1162"/>
      <c r="G32" s="1163" t="s">
        <v>189</v>
      </c>
      <c r="H32" s="1164"/>
    </row>
    <row r="33" spans="1:8" x14ac:dyDescent="0.25">
      <c r="A33" s="116" t="s">
        <v>192</v>
      </c>
      <c r="B33" s="86">
        <v>0</v>
      </c>
      <c r="C33" s="116" t="s">
        <v>192</v>
      </c>
      <c r="D33" s="86">
        <v>0</v>
      </c>
      <c r="E33" s="116" t="s">
        <v>192</v>
      </c>
      <c r="F33" s="86">
        <v>0</v>
      </c>
      <c r="G33" s="116" t="s">
        <v>192</v>
      </c>
      <c r="H33" s="113">
        <v>0</v>
      </c>
    </row>
    <row r="34" spans="1:8" x14ac:dyDescent="0.25">
      <c r="A34" s="119" t="s">
        <v>193</v>
      </c>
      <c r="B34" s="82">
        <v>1</v>
      </c>
      <c r="C34" s="119" t="s">
        <v>193</v>
      </c>
      <c r="D34" s="84">
        <v>10</v>
      </c>
      <c r="E34" s="119" t="s">
        <v>193</v>
      </c>
      <c r="F34" s="80">
        <v>20</v>
      </c>
      <c r="G34" s="119" t="s">
        <v>193</v>
      </c>
      <c r="H34" s="110">
        <v>100</v>
      </c>
    </row>
    <row r="35" spans="1:8" ht="15.75" thickBot="1" x14ac:dyDescent="0.3">
      <c r="A35" s="120" t="s">
        <v>194</v>
      </c>
      <c r="B35" s="307">
        <v>1.5</v>
      </c>
      <c r="C35" s="120" t="s">
        <v>194</v>
      </c>
      <c r="D35" s="121">
        <v>15</v>
      </c>
      <c r="E35" s="120" t="s">
        <v>194</v>
      </c>
      <c r="F35" s="308">
        <v>30</v>
      </c>
      <c r="G35" s="120" t="s">
        <v>194</v>
      </c>
      <c r="H35" s="122">
        <v>150</v>
      </c>
    </row>
    <row r="36" spans="1:8" x14ac:dyDescent="0.25">
      <c r="A36" s="428"/>
      <c r="B36" s="429"/>
      <c r="C36" s="428"/>
      <c r="D36" s="430"/>
      <c r="E36" s="428"/>
      <c r="F36" s="431"/>
      <c r="G36" s="428"/>
      <c r="H36" s="431"/>
    </row>
    <row r="37" spans="1:8" ht="15.75" thickBot="1" x14ac:dyDescent="0.3">
      <c r="A37" s="659"/>
      <c r="B37" s="429"/>
      <c r="C37" s="428"/>
      <c r="D37" s="430"/>
      <c r="E37" s="428"/>
      <c r="F37" s="431"/>
      <c r="G37" s="428"/>
      <c r="H37" s="431"/>
    </row>
    <row r="38" spans="1:8" x14ac:dyDescent="0.25">
      <c r="A38" s="683" t="s">
        <v>391</v>
      </c>
      <c r="B38" s="100"/>
      <c r="C38" s="100"/>
      <c r="D38" s="100"/>
      <c r="E38" s="100"/>
      <c r="F38" s="100"/>
      <c r="G38" s="100"/>
      <c r="H38" s="101"/>
    </row>
    <row r="39" spans="1:8" x14ac:dyDescent="0.25">
      <c r="A39" s="1161" t="s">
        <v>120</v>
      </c>
      <c r="B39" s="1162"/>
      <c r="C39" s="1163" t="s">
        <v>121</v>
      </c>
      <c r="D39" s="1162"/>
      <c r="E39" s="1163" t="s">
        <v>188</v>
      </c>
      <c r="F39" s="1162"/>
      <c r="G39" s="1163" t="s">
        <v>189</v>
      </c>
      <c r="H39" s="1164"/>
    </row>
    <row r="40" spans="1:8" x14ac:dyDescent="0.25">
      <c r="A40" s="116" t="s">
        <v>195</v>
      </c>
      <c r="B40" s="86">
        <v>0</v>
      </c>
      <c r="C40" s="116" t="s">
        <v>195</v>
      </c>
      <c r="D40" s="86">
        <v>0</v>
      </c>
      <c r="E40" s="116" t="s">
        <v>195</v>
      </c>
      <c r="F40" s="86">
        <v>0</v>
      </c>
      <c r="G40" s="116" t="s">
        <v>195</v>
      </c>
      <c r="H40" s="113">
        <v>0</v>
      </c>
    </row>
    <row r="41" spans="1:8" x14ac:dyDescent="0.25">
      <c r="A41" s="119" t="s">
        <v>196</v>
      </c>
      <c r="B41" s="82">
        <v>0.5</v>
      </c>
      <c r="C41" s="119" t="s">
        <v>196</v>
      </c>
      <c r="D41" s="84">
        <v>1</v>
      </c>
      <c r="E41" s="119" t="s">
        <v>196</v>
      </c>
      <c r="F41" s="80">
        <v>1.5</v>
      </c>
      <c r="G41" s="119" t="s">
        <v>196</v>
      </c>
      <c r="H41" s="110">
        <v>30</v>
      </c>
    </row>
    <row r="42" spans="1:8" ht="15.75" thickBot="1" x14ac:dyDescent="0.3">
      <c r="A42" s="120" t="s">
        <v>197</v>
      </c>
      <c r="B42" s="307">
        <v>0.75</v>
      </c>
      <c r="C42" s="120" t="s">
        <v>197</v>
      </c>
      <c r="D42" s="121">
        <v>1.4</v>
      </c>
      <c r="E42" s="120" t="s">
        <v>197</v>
      </c>
      <c r="F42" s="308">
        <v>2</v>
      </c>
      <c r="G42" s="120" t="s">
        <v>197</v>
      </c>
      <c r="H42" s="122">
        <v>45</v>
      </c>
    </row>
    <row r="44" spans="1:8" x14ac:dyDescent="0.25">
      <c r="A44" s="111" t="s">
        <v>200</v>
      </c>
    </row>
    <row r="45" spans="1:8" ht="18.75" x14ac:dyDescent="0.35">
      <c r="A45" s="310" t="s">
        <v>426</v>
      </c>
    </row>
    <row r="46" spans="1:8" ht="18.75" x14ac:dyDescent="0.35">
      <c r="A46" s="310" t="s">
        <v>198</v>
      </c>
    </row>
    <row r="47" spans="1:8" ht="18.75" x14ac:dyDescent="0.35">
      <c r="A47" s="310" t="s">
        <v>199</v>
      </c>
    </row>
  </sheetData>
  <sheetProtection algorithmName="SHA-512" hashValue="ZxxAO3YWYFU+SO90ctBf9hFyypYg/vPaRBSpj8G+gb3aAdlmfI+Qw8k9mO9KAwz6C3R5ztdwE2izxc/21+9pzA==" saltValue="uuJWMATcdoR6kE+XQ5ozXg==" spinCount="100000" sheet="1" selectLockedCells="1"/>
  <mergeCells count="12">
    <mergeCell ref="A39:B39"/>
    <mergeCell ref="C39:D39"/>
    <mergeCell ref="E39:F39"/>
    <mergeCell ref="G39:H39"/>
    <mergeCell ref="A21:B21"/>
    <mergeCell ref="C21:D21"/>
    <mergeCell ref="E21:F21"/>
    <mergeCell ref="G21:H21"/>
    <mergeCell ref="A32:B32"/>
    <mergeCell ref="C32:D32"/>
    <mergeCell ref="E32:F32"/>
    <mergeCell ref="G32:H32"/>
  </mergeCells>
  <pageMargins left="0.78740157499999996" right="0.78740157499999996" top="1" bottom="1" header="0.5" footer="0.5"/>
  <pageSetup paperSize="9"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workbookViewId="0">
      <selection activeCell="S42" sqref="S42"/>
    </sheetView>
  </sheetViews>
  <sheetFormatPr baseColWidth="10" defaultColWidth="8.7109375" defaultRowHeight="15" x14ac:dyDescent="0.25"/>
  <cols>
    <col min="1" max="1" width="18.140625" customWidth="1"/>
    <col min="3" max="3" width="0" hidden="1" customWidth="1"/>
    <col min="4" max="4" width="18.140625" customWidth="1"/>
    <col min="6" max="6" width="18.140625" customWidth="1"/>
    <col min="8" max="8" width="18.140625" customWidth="1"/>
  </cols>
  <sheetData>
    <row r="2" spans="1:9" ht="15.75" thickBot="1" x14ac:dyDescent="0.3">
      <c r="A2" s="94" t="s">
        <v>86</v>
      </c>
      <c r="B2" s="94"/>
      <c r="C2" s="94"/>
      <c r="D2" s="94"/>
      <c r="E2" s="94"/>
      <c r="F2" s="94"/>
      <c r="G2" s="69"/>
      <c r="H2" s="69"/>
      <c r="I2" s="69"/>
    </row>
    <row r="3" spans="1:9" ht="36.75" customHeight="1" x14ac:dyDescent="0.25">
      <c r="A3" s="87" t="s">
        <v>70</v>
      </c>
      <c r="B3" s="133" t="s">
        <v>87</v>
      </c>
      <c r="C3" s="143"/>
      <c r="D3" s="126"/>
      <c r="E3" s="1165" t="s">
        <v>91</v>
      </c>
      <c r="F3" s="1166"/>
      <c r="G3" s="1166"/>
      <c r="H3" s="1166"/>
      <c r="I3" s="1167"/>
    </row>
    <row r="4" spans="1:9" ht="22.5" customHeight="1" x14ac:dyDescent="0.25">
      <c r="A4" s="88"/>
      <c r="B4" s="124"/>
      <c r="C4" s="124"/>
      <c r="D4" s="127"/>
      <c r="E4" s="1168" t="s">
        <v>90</v>
      </c>
      <c r="F4" s="1169"/>
      <c r="G4" s="1169"/>
      <c r="H4" s="1169"/>
      <c r="I4" s="1170"/>
    </row>
    <row r="5" spans="1:9" ht="18" thickBot="1" x14ac:dyDescent="0.3">
      <c r="A5" s="89"/>
      <c r="B5" s="91" t="s">
        <v>88</v>
      </c>
      <c r="C5" s="95" t="s">
        <v>89</v>
      </c>
      <c r="D5" s="128"/>
      <c r="E5" s="144">
        <v>1</v>
      </c>
      <c r="F5" s="129"/>
      <c r="G5" s="123">
        <v>2</v>
      </c>
      <c r="H5" s="130"/>
      <c r="I5" s="125">
        <v>3</v>
      </c>
    </row>
    <row r="6" spans="1:9" ht="22.5" x14ac:dyDescent="0.25">
      <c r="A6" s="78" t="s">
        <v>76</v>
      </c>
      <c r="B6" s="96">
        <v>0.1</v>
      </c>
      <c r="C6" s="97">
        <v>0.3</v>
      </c>
      <c r="D6" s="78" t="s">
        <v>76</v>
      </c>
      <c r="E6" s="96">
        <v>1</v>
      </c>
      <c r="F6" s="78" t="s">
        <v>76</v>
      </c>
      <c r="G6" s="96">
        <v>2</v>
      </c>
      <c r="H6" s="78" t="s">
        <v>76</v>
      </c>
      <c r="I6" s="98">
        <v>2.5</v>
      </c>
    </row>
    <row r="7" spans="1:9" x14ac:dyDescent="0.25">
      <c r="A7" s="75" t="s">
        <v>71</v>
      </c>
      <c r="B7" s="92">
        <v>0.3</v>
      </c>
      <c r="C7" s="57">
        <v>0.4</v>
      </c>
      <c r="D7" s="75" t="s">
        <v>71</v>
      </c>
      <c r="E7" s="92">
        <v>1</v>
      </c>
      <c r="F7" s="75" t="s">
        <v>71</v>
      </c>
      <c r="G7" s="92">
        <v>1.8</v>
      </c>
      <c r="H7" s="75" t="s">
        <v>71</v>
      </c>
      <c r="I7" s="70">
        <v>2</v>
      </c>
    </row>
    <row r="8" spans="1:9" x14ac:dyDescent="0.25">
      <c r="A8" s="75" t="s">
        <v>72</v>
      </c>
      <c r="B8" s="92">
        <v>0.5</v>
      </c>
      <c r="C8" s="57">
        <v>0.4</v>
      </c>
      <c r="D8" s="75" t="s">
        <v>72</v>
      </c>
      <c r="E8" s="92">
        <v>1</v>
      </c>
      <c r="F8" s="75" t="s">
        <v>72</v>
      </c>
      <c r="G8" s="92">
        <v>1.5</v>
      </c>
      <c r="H8" s="75" t="s">
        <v>72</v>
      </c>
      <c r="I8" s="70">
        <v>1.8</v>
      </c>
    </row>
    <row r="9" spans="1:9" x14ac:dyDescent="0.25">
      <c r="A9" s="75" t="s">
        <v>73</v>
      </c>
      <c r="B9" s="92">
        <v>0.7</v>
      </c>
      <c r="C9" s="57">
        <v>0.7</v>
      </c>
      <c r="D9" s="75" t="s">
        <v>73</v>
      </c>
      <c r="E9" s="92">
        <v>1</v>
      </c>
      <c r="F9" s="75" t="s">
        <v>73</v>
      </c>
      <c r="G9" s="92">
        <v>1.3</v>
      </c>
      <c r="H9" s="75" t="s">
        <v>73</v>
      </c>
      <c r="I9" s="70">
        <v>1.4</v>
      </c>
    </row>
    <row r="10" spans="1:9" x14ac:dyDescent="0.25">
      <c r="A10" s="75" t="s">
        <v>74</v>
      </c>
      <c r="B10" s="92">
        <v>0.9</v>
      </c>
      <c r="C10" s="57">
        <v>0.9</v>
      </c>
      <c r="D10" s="75" t="s">
        <v>74</v>
      </c>
      <c r="E10" s="92">
        <v>1</v>
      </c>
      <c r="F10" s="75" t="s">
        <v>74</v>
      </c>
      <c r="G10" s="92">
        <v>1.1000000000000001</v>
      </c>
      <c r="H10" s="75" t="s">
        <v>74</v>
      </c>
      <c r="I10" s="70">
        <v>1.1000000000000001</v>
      </c>
    </row>
    <row r="11" spans="1:9" ht="23.25" thickBot="1" x14ac:dyDescent="0.3">
      <c r="A11" s="76" t="s">
        <v>77</v>
      </c>
      <c r="B11" s="93">
        <v>1</v>
      </c>
      <c r="C11" s="58">
        <v>1</v>
      </c>
      <c r="D11" s="76" t="s">
        <v>77</v>
      </c>
      <c r="E11" s="93">
        <v>1</v>
      </c>
      <c r="F11" s="76" t="s">
        <v>77</v>
      </c>
      <c r="G11" s="93">
        <v>1</v>
      </c>
      <c r="H11" s="76" t="s">
        <v>77</v>
      </c>
      <c r="I11" s="77">
        <v>1</v>
      </c>
    </row>
    <row r="12" spans="1:9" x14ac:dyDescent="0.25">
      <c r="A12" s="90" t="s">
        <v>75</v>
      </c>
      <c r="B12" s="90"/>
      <c r="C12" s="90"/>
      <c r="D12" s="90"/>
      <c r="E12" s="90"/>
      <c r="F12" s="90"/>
      <c r="G12" s="69"/>
      <c r="H12" s="69"/>
      <c r="I12" s="69"/>
    </row>
    <row r="13" spans="1:9" x14ac:dyDescent="0.25">
      <c r="A13" s="62"/>
    </row>
  </sheetData>
  <sheetProtection algorithmName="SHA-512" hashValue="ZxSzXs7q0g/AT2QQoJvXZWH65VT6pFvhyPVmyK9bwHzTD3LoSUg7SMFS0Di3hYO/iPmYtH5/CkPHumXUs68WBg==" saltValue="gaohcxD1B5g4ZCe3FfDzKg==" spinCount="100000" sheet="1" selectLockedCells="1"/>
  <mergeCells count="2">
    <mergeCell ref="E3:I3"/>
    <mergeCell ref="E4:I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B70"/>
  <sheetViews>
    <sheetView topLeftCell="A43" zoomScale="115" zoomScaleNormal="115" zoomScalePageLayoutView="115" workbookViewId="0">
      <selection activeCell="E7" sqref="E7:O7"/>
    </sheetView>
  </sheetViews>
  <sheetFormatPr baseColWidth="10" defaultColWidth="10.7109375" defaultRowHeight="15" x14ac:dyDescent="0.25"/>
  <cols>
    <col min="1" max="1" width="2.42578125" style="1" customWidth="1"/>
    <col min="2" max="2" width="17.42578125" style="1" customWidth="1"/>
    <col min="3" max="14" width="6.42578125" style="1" customWidth="1"/>
    <col min="15" max="15" width="7" style="1" customWidth="1"/>
    <col min="16" max="16" width="4.85546875" style="1" customWidth="1"/>
    <col min="17" max="16384" width="10.7109375" style="1"/>
  </cols>
  <sheetData>
    <row r="1" spans="1:20" ht="14.25" customHeight="1" x14ac:dyDescent="0.25">
      <c r="A1" s="557"/>
      <c r="B1" s="558"/>
      <c r="C1" s="558"/>
      <c r="D1" s="558"/>
      <c r="E1" s="558"/>
      <c r="F1" s="558"/>
      <c r="G1" s="558"/>
      <c r="H1" s="558"/>
      <c r="I1" s="558"/>
      <c r="J1" s="558"/>
      <c r="K1" s="558"/>
      <c r="L1" s="558"/>
      <c r="M1" s="558"/>
      <c r="N1" s="558"/>
      <c r="O1" s="558"/>
      <c r="P1" s="558"/>
      <c r="Q1" s="545"/>
      <c r="R1" s="545"/>
      <c r="S1" s="545"/>
      <c r="T1" s="559"/>
    </row>
    <row r="2" spans="1:20" ht="33" x14ac:dyDescent="0.25">
      <c r="A2" s="508"/>
      <c r="B2" s="737" t="s">
        <v>113</v>
      </c>
      <c r="C2" s="737"/>
      <c r="D2" s="737"/>
      <c r="E2" s="737"/>
      <c r="F2" s="737"/>
      <c r="G2" s="737"/>
      <c r="H2" s="737"/>
      <c r="I2" s="737"/>
      <c r="J2" s="737"/>
      <c r="K2" s="737"/>
      <c r="L2" s="737"/>
      <c r="M2" s="737"/>
      <c r="N2" s="737"/>
      <c r="O2" s="737"/>
      <c r="P2" s="737"/>
      <c r="Q2" s="302"/>
      <c r="R2" s="302"/>
      <c r="S2" s="302"/>
      <c r="T2" s="547"/>
    </row>
    <row r="3" spans="1:20" x14ac:dyDescent="0.25">
      <c r="A3" s="509"/>
      <c r="B3" s="347"/>
      <c r="C3" s="302"/>
      <c r="D3" s="302"/>
      <c r="E3" s="302"/>
      <c r="F3" s="302"/>
      <c r="G3" s="302"/>
      <c r="H3" s="302"/>
      <c r="I3" s="302"/>
      <c r="J3" s="302"/>
      <c r="K3" s="302"/>
      <c r="L3" s="302"/>
      <c r="M3" s="302"/>
      <c r="N3" s="302"/>
      <c r="O3" s="302"/>
      <c r="P3" s="302"/>
      <c r="Q3" s="302"/>
      <c r="R3" s="302"/>
      <c r="S3" s="302"/>
      <c r="T3" s="547"/>
    </row>
    <row r="4" spans="1:20" x14ac:dyDescent="0.25">
      <c r="A4" s="509"/>
      <c r="B4" s="347" t="s">
        <v>114</v>
      </c>
      <c r="C4" s="302"/>
      <c r="D4" s="302"/>
      <c r="E4" s="302"/>
      <c r="F4" s="302"/>
      <c r="G4" s="302"/>
      <c r="H4" s="302"/>
      <c r="I4" s="302"/>
      <c r="J4" s="302"/>
      <c r="K4" s="302"/>
      <c r="L4" s="302"/>
      <c r="M4" s="302"/>
      <c r="N4" s="302"/>
      <c r="O4" s="302"/>
      <c r="P4" s="302"/>
      <c r="Q4" s="302"/>
      <c r="R4" s="302"/>
      <c r="S4" s="302"/>
      <c r="T4" s="547"/>
    </row>
    <row r="5" spans="1:20" ht="15.75" thickBot="1" x14ac:dyDescent="0.3">
      <c r="A5" s="509"/>
      <c r="B5" s="560"/>
      <c r="C5" s="302"/>
      <c r="D5" s="302"/>
      <c r="E5" s="302"/>
      <c r="F5" s="302"/>
      <c r="G5" s="302"/>
      <c r="H5" s="302"/>
      <c r="I5" s="302"/>
      <c r="J5" s="302"/>
      <c r="K5" s="302"/>
      <c r="L5" s="302"/>
      <c r="M5" s="302"/>
      <c r="N5" s="302"/>
      <c r="O5" s="302"/>
      <c r="P5" s="302"/>
      <c r="Q5" s="302"/>
      <c r="R5" s="302"/>
      <c r="S5" s="302"/>
      <c r="T5" s="547"/>
    </row>
    <row r="6" spans="1:20" ht="45" customHeight="1" x14ac:dyDescent="0.25">
      <c r="A6" s="509"/>
      <c r="B6" s="739" t="s">
        <v>116</v>
      </c>
      <c r="C6" s="740"/>
      <c r="D6" s="741"/>
      <c r="E6" s="742" t="s">
        <v>107</v>
      </c>
      <c r="F6" s="742"/>
      <c r="G6" s="742"/>
      <c r="H6" s="742"/>
      <c r="I6" s="742"/>
      <c r="J6" s="742"/>
      <c r="K6" s="742"/>
      <c r="L6" s="742"/>
      <c r="M6" s="742"/>
      <c r="N6" s="742"/>
      <c r="O6" s="743"/>
      <c r="P6" s="302"/>
      <c r="Q6" s="302"/>
      <c r="R6" s="302"/>
      <c r="S6" s="302"/>
      <c r="T6" s="547"/>
    </row>
    <row r="7" spans="1:20" ht="45" customHeight="1" thickBot="1" x14ac:dyDescent="0.3">
      <c r="A7" s="509"/>
      <c r="B7" s="762" t="s">
        <v>115</v>
      </c>
      <c r="C7" s="763"/>
      <c r="D7" s="764"/>
      <c r="E7" s="765" t="s">
        <v>108</v>
      </c>
      <c r="F7" s="765"/>
      <c r="G7" s="765"/>
      <c r="H7" s="765"/>
      <c r="I7" s="765"/>
      <c r="J7" s="765"/>
      <c r="K7" s="765"/>
      <c r="L7" s="765"/>
      <c r="M7" s="765"/>
      <c r="N7" s="765"/>
      <c r="O7" s="766"/>
      <c r="P7" s="302"/>
      <c r="Q7" s="302"/>
      <c r="R7" s="302"/>
      <c r="S7" s="302"/>
      <c r="T7" s="547"/>
    </row>
    <row r="8" spans="1:20" ht="27.75" customHeight="1" x14ac:dyDescent="0.25">
      <c r="A8" s="509"/>
      <c r="B8" s="561"/>
      <c r="C8" s="561"/>
      <c r="D8" s="561"/>
      <c r="E8" s="562"/>
      <c r="F8" s="562"/>
      <c r="G8" s="562"/>
      <c r="H8" s="562"/>
      <c r="I8" s="562"/>
      <c r="J8" s="562"/>
      <c r="K8" s="562"/>
      <c r="L8" s="562"/>
      <c r="M8" s="562"/>
      <c r="N8" s="562"/>
      <c r="O8" s="562"/>
      <c r="P8" s="302"/>
      <c r="Q8" s="302"/>
      <c r="R8" s="302"/>
      <c r="S8" s="302"/>
      <c r="T8" s="547"/>
    </row>
    <row r="9" spans="1:20" ht="18.75" customHeight="1" x14ac:dyDescent="0.25">
      <c r="A9" s="509"/>
      <c r="B9" s="738" t="s">
        <v>340</v>
      </c>
      <c r="C9" s="738"/>
      <c r="D9" s="738"/>
      <c r="E9" s="738"/>
      <c r="F9" s="738"/>
      <c r="G9" s="738"/>
      <c r="H9" s="738"/>
      <c r="I9" s="738"/>
      <c r="J9" s="738"/>
      <c r="K9" s="738"/>
      <c r="L9" s="738"/>
      <c r="M9" s="738"/>
      <c r="N9" s="738"/>
      <c r="O9" s="738"/>
      <c r="P9" s="738"/>
      <c r="Q9" s="738"/>
      <c r="R9" s="302"/>
      <c r="S9" s="302"/>
      <c r="T9" s="547"/>
    </row>
    <row r="10" spans="1:20" ht="19.5" customHeight="1" x14ac:dyDescent="0.25">
      <c r="A10" s="509"/>
      <c r="B10" s="738" t="s">
        <v>117</v>
      </c>
      <c r="C10" s="738"/>
      <c r="D10" s="738"/>
      <c r="E10" s="738"/>
      <c r="F10" s="738"/>
      <c r="G10" s="738"/>
      <c r="H10" s="738"/>
      <c r="I10" s="738"/>
      <c r="J10" s="738"/>
      <c r="K10" s="738"/>
      <c r="L10" s="738"/>
      <c r="M10" s="738"/>
      <c r="N10" s="738"/>
      <c r="O10" s="738"/>
      <c r="P10" s="738"/>
      <c r="Q10" s="738"/>
      <c r="R10" s="302"/>
      <c r="S10" s="302"/>
      <c r="T10" s="547"/>
    </row>
    <row r="11" spans="1:20" ht="36" customHeight="1" x14ac:dyDescent="0.25">
      <c r="A11" s="509"/>
      <c r="B11" s="738" t="s">
        <v>341</v>
      </c>
      <c r="C11" s="738"/>
      <c r="D11" s="738"/>
      <c r="E11" s="738"/>
      <c r="F11" s="738"/>
      <c r="G11" s="738"/>
      <c r="H11" s="738"/>
      <c r="I11" s="738"/>
      <c r="J11" s="738"/>
      <c r="K11" s="738"/>
      <c r="L11" s="738"/>
      <c r="M11" s="738"/>
      <c r="N11" s="738"/>
      <c r="O11" s="738"/>
      <c r="P11" s="738"/>
      <c r="Q11" s="738"/>
      <c r="R11" s="302"/>
      <c r="S11" s="302"/>
      <c r="T11" s="547"/>
    </row>
    <row r="12" spans="1:20" ht="29.25" customHeight="1" x14ac:dyDescent="0.25">
      <c r="A12" s="509"/>
      <c r="B12" s="302"/>
      <c r="C12" s="302"/>
      <c r="D12" s="302"/>
      <c r="E12" s="302"/>
      <c r="F12" s="302"/>
      <c r="G12" s="302"/>
      <c r="H12" s="302"/>
      <c r="I12" s="302"/>
      <c r="J12" s="302"/>
      <c r="K12" s="302"/>
      <c r="L12" s="302"/>
      <c r="M12" s="302"/>
      <c r="N12" s="302"/>
      <c r="O12" s="302"/>
      <c r="P12" s="302"/>
      <c r="Q12" s="302"/>
      <c r="R12" s="302"/>
      <c r="S12" s="302"/>
      <c r="T12" s="547"/>
    </row>
    <row r="13" spans="1:20" ht="33" x14ac:dyDescent="0.25">
      <c r="A13" s="508"/>
      <c r="B13" s="737" t="s">
        <v>118</v>
      </c>
      <c r="C13" s="737"/>
      <c r="D13" s="737"/>
      <c r="E13" s="737"/>
      <c r="F13" s="737"/>
      <c r="G13" s="737"/>
      <c r="H13" s="737"/>
      <c r="I13" s="737"/>
      <c r="J13" s="737"/>
      <c r="K13" s="737"/>
      <c r="L13" s="737"/>
      <c r="M13" s="737"/>
      <c r="N13" s="737"/>
      <c r="O13" s="737"/>
      <c r="P13" s="737"/>
      <c r="Q13" s="302"/>
      <c r="R13" s="302"/>
      <c r="S13" s="302"/>
      <c r="T13" s="547"/>
    </row>
    <row r="14" spans="1:20" ht="12.75" customHeight="1" x14ac:dyDescent="0.25">
      <c r="A14" s="510"/>
      <c r="B14" s="563"/>
      <c r="C14" s="563"/>
      <c r="D14" s="563"/>
      <c r="E14" s="563"/>
      <c r="F14" s="563"/>
      <c r="G14" s="563"/>
      <c r="H14" s="563"/>
      <c r="I14" s="563"/>
      <c r="J14" s="563"/>
      <c r="K14" s="563"/>
      <c r="L14" s="563"/>
      <c r="M14" s="563"/>
      <c r="N14" s="563"/>
      <c r="O14" s="563"/>
      <c r="P14" s="563"/>
      <c r="Q14" s="302"/>
      <c r="R14" s="302"/>
      <c r="S14" s="302"/>
      <c r="T14" s="547"/>
    </row>
    <row r="15" spans="1:20" ht="33" customHeight="1" x14ac:dyDescent="0.25">
      <c r="A15" s="510"/>
      <c r="B15" s="755" t="s">
        <v>446</v>
      </c>
      <c r="C15" s="755"/>
      <c r="D15" s="755"/>
      <c r="E15" s="755"/>
      <c r="F15" s="755"/>
      <c r="G15" s="755"/>
      <c r="H15" s="755"/>
      <c r="I15" s="755"/>
      <c r="J15" s="755"/>
      <c r="K15" s="755"/>
      <c r="L15" s="755"/>
      <c r="M15" s="755"/>
      <c r="N15" s="755"/>
      <c r="O15" s="755"/>
      <c r="P15" s="755"/>
      <c r="Q15" s="755"/>
      <c r="R15" s="755"/>
      <c r="S15" s="755"/>
      <c r="T15" s="756"/>
    </row>
    <row r="16" spans="1:20" ht="21" customHeight="1" x14ac:dyDescent="0.25">
      <c r="A16" s="509"/>
      <c r="B16" s="738" t="s">
        <v>343</v>
      </c>
      <c r="C16" s="738"/>
      <c r="D16" s="738"/>
      <c r="E16" s="738"/>
      <c r="F16" s="738"/>
      <c r="G16" s="738"/>
      <c r="H16" s="738"/>
      <c r="I16" s="738"/>
      <c r="J16" s="738"/>
      <c r="K16" s="738"/>
      <c r="L16" s="738"/>
      <c r="M16" s="738"/>
      <c r="N16" s="738"/>
      <c r="O16" s="738"/>
      <c r="P16" s="738"/>
      <c r="Q16" s="738"/>
      <c r="R16" s="302"/>
      <c r="S16" s="302"/>
      <c r="T16" s="547"/>
    </row>
    <row r="17" spans="1:20" ht="14.25" customHeight="1" thickBot="1" x14ac:dyDescent="0.3">
      <c r="A17" s="510"/>
      <c r="B17" s="563"/>
      <c r="C17" s="563"/>
      <c r="D17" s="563"/>
      <c r="E17" s="563"/>
      <c r="F17" s="563"/>
      <c r="G17" s="563"/>
      <c r="H17" s="563"/>
      <c r="I17" s="563"/>
      <c r="J17" s="563"/>
      <c r="K17" s="563"/>
      <c r="L17" s="563"/>
      <c r="M17" s="563"/>
      <c r="N17" s="563"/>
      <c r="O17" s="563"/>
      <c r="P17" s="563"/>
      <c r="Q17" s="302"/>
      <c r="R17" s="302"/>
      <c r="S17" s="302"/>
      <c r="T17" s="547"/>
    </row>
    <row r="18" spans="1:20" ht="35.1" customHeight="1" thickBot="1" x14ac:dyDescent="0.3">
      <c r="A18" s="509"/>
      <c r="B18" s="752" t="s">
        <v>119</v>
      </c>
      <c r="C18" s="753"/>
      <c r="D18" s="753"/>
      <c r="E18" s="753"/>
      <c r="F18" s="753"/>
      <c r="G18" s="753"/>
      <c r="H18" s="754"/>
      <c r="I18" s="302"/>
      <c r="J18" s="302"/>
      <c r="K18" s="302"/>
      <c r="L18" s="302"/>
      <c r="M18" s="302"/>
      <c r="N18" s="302"/>
      <c r="O18" s="302"/>
      <c r="P18" s="302"/>
      <c r="Q18" s="302"/>
      <c r="R18" s="302"/>
      <c r="S18" s="302"/>
      <c r="T18" s="547"/>
    </row>
    <row r="19" spans="1:20" ht="35.1" customHeight="1" x14ac:dyDescent="0.25">
      <c r="A19" s="509"/>
      <c r="B19" s="311" t="s">
        <v>120</v>
      </c>
      <c r="C19" s="744" t="s">
        <v>121</v>
      </c>
      <c r="D19" s="745"/>
      <c r="E19" s="746"/>
      <c r="F19" s="744" t="s">
        <v>122</v>
      </c>
      <c r="G19" s="745"/>
      <c r="H19" s="750"/>
      <c r="I19" s="302"/>
      <c r="J19" s="302"/>
      <c r="K19" s="302"/>
      <c r="L19" s="302"/>
      <c r="M19" s="302"/>
      <c r="N19" s="302"/>
      <c r="O19" s="302"/>
      <c r="P19" s="302"/>
      <c r="Q19" s="302"/>
      <c r="R19" s="302"/>
      <c r="S19" s="302"/>
      <c r="T19" s="547"/>
    </row>
    <row r="20" spans="1:20" ht="35.1" customHeight="1" thickBot="1" x14ac:dyDescent="0.3">
      <c r="A20" s="509"/>
      <c r="B20" s="373"/>
      <c r="C20" s="747"/>
      <c r="D20" s="748"/>
      <c r="E20" s="749"/>
      <c r="F20" s="747"/>
      <c r="G20" s="748"/>
      <c r="H20" s="751"/>
      <c r="I20" s="302"/>
      <c r="J20" s="302"/>
      <c r="K20" s="302"/>
      <c r="L20" s="302"/>
      <c r="M20" s="302"/>
      <c r="N20" s="302"/>
      <c r="O20" s="302"/>
      <c r="P20" s="302"/>
      <c r="Q20" s="302"/>
      <c r="R20" s="302"/>
      <c r="S20" s="302"/>
      <c r="T20" s="547"/>
    </row>
    <row r="21" spans="1:20" ht="37.5" customHeight="1" x14ac:dyDescent="0.25">
      <c r="A21" s="509"/>
      <c r="B21" s="302"/>
      <c r="C21" s="302"/>
      <c r="D21" s="302"/>
      <c r="E21" s="302"/>
      <c r="F21" s="302"/>
      <c r="G21" s="302"/>
      <c r="H21" s="302"/>
      <c r="I21" s="302"/>
      <c r="J21" s="302"/>
      <c r="K21" s="302"/>
      <c r="L21" s="302"/>
      <c r="M21" s="302"/>
      <c r="N21" s="302"/>
      <c r="O21" s="302"/>
      <c r="P21" s="302"/>
      <c r="Q21" s="302"/>
      <c r="R21" s="302"/>
      <c r="S21" s="302"/>
      <c r="T21" s="547"/>
    </row>
    <row r="22" spans="1:20" x14ac:dyDescent="0.25">
      <c r="A22" s="509"/>
      <c r="B22" s="136"/>
      <c r="C22" s="136"/>
      <c r="D22" s="136"/>
      <c r="E22" s="136"/>
      <c r="F22" s="136"/>
      <c r="G22" s="136"/>
      <c r="H22" s="136"/>
      <c r="I22" s="136"/>
      <c r="J22" s="136"/>
      <c r="K22" s="136"/>
      <c r="L22" s="136"/>
      <c r="M22" s="136"/>
      <c r="N22" s="136"/>
      <c r="O22" s="136"/>
      <c r="P22" s="136"/>
      <c r="Q22" s="136"/>
      <c r="R22" s="136"/>
      <c r="S22" s="302"/>
      <c r="T22" s="547"/>
    </row>
    <row r="23" spans="1:20" x14ac:dyDescent="0.25">
      <c r="A23" s="509"/>
      <c r="B23" s="136"/>
      <c r="C23" s="136"/>
      <c r="D23" s="136"/>
      <c r="E23" s="136"/>
      <c r="F23" s="136"/>
      <c r="G23" s="136"/>
      <c r="H23" s="136"/>
      <c r="I23" s="136"/>
      <c r="J23" s="136"/>
      <c r="K23" s="136"/>
      <c r="L23" s="136"/>
      <c r="M23" s="136"/>
      <c r="N23" s="136"/>
      <c r="O23" s="136"/>
      <c r="P23" s="136"/>
      <c r="Q23" s="136"/>
      <c r="R23" s="136"/>
      <c r="S23" s="302"/>
      <c r="T23" s="547"/>
    </row>
    <row r="24" spans="1:20" x14ac:dyDescent="0.25">
      <c r="A24" s="509"/>
      <c r="B24" s="136"/>
      <c r="C24" s="136"/>
      <c r="D24" s="136"/>
      <c r="E24" s="136"/>
      <c r="F24" s="136"/>
      <c r="G24" s="136"/>
      <c r="H24" s="136"/>
      <c r="I24" s="136"/>
      <c r="J24" s="136"/>
      <c r="K24" s="136"/>
      <c r="L24" s="136"/>
      <c r="M24" s="136"/>
      <c r="N24" s="136"/>
      <c r="O24" s="136"/>
      <c r="P24" s="136"/>
      <c r="Q24" s="136"/>
      <c r="R24" s="136"/>
      <c r="S24" s="302"/>
      <c r="T24" s="547"/>
    </row>
    <row r="25" spans="1:20" x14ac:dyDescent="0.25">
      <c r="A25" s="509"/>
      <c r="B25" s="136"/>
      <c r="C25" s="136"/>
      <c r="D25" s="136"/>
      <c r="E25" s="136"/>
      <c r="F25" s="136"/>
      <c r="G25" s="136"/>
      <c r="H25" s="136"/>
      <c r="I25" s="136"/>
      <c r="J25" s="136"/>
      <c r="K25" s="136"/>
      <c r="L25" s="136"/>
      <c r="M25" s="136"/>
      <c r="N25" s="136"/>
      <c r="O25" s="136"/>
      <c r="P25" s="136"/>
      <c r="Q25" s="136"/>
      <c r="R25" s="136"/>
      <c r="S25" s="302"/>
      <c r="T25" s="547"/>
    </row>
    <row r="26" spans="1:20" x14ac:dyDescent="0.25">
      <c r="A26" s="509"/>
      <c r="B26" s="136"/>
      <c r="C26" s="136"/>
      <c r="D26" s="136"/>
      <c r="E26" s="136"/>
      <c r="F26" s="136"/>
      <c r="G26" s="136"/>
      <c r="H26" s="136"/>
      <c r="I26" s="136"/>
      <c r="J26" s="136"/>
      <c r="K26" s="136"/>
      <c r="L26" s="136"/>
      <c r="M26" s="136"/>
      <c r="N26" s="136"/>
      <c r="O26" s="136"/>
      <c r="P26" s="136"/>
      <c r="Q26" s="136"/>
      <c r="R26" s="136"/>
      <c r="S26" s="302"/>
      <c r="T26" s="547"/>
    </row>
    <row r="27" spans="1:20" x14ac:dyDescent="0.25">
      <c r="A27" s="509"/>
      <c r="B27" s="136"/>
      <c r="C27" s="136"/>
      <c r="D27" s="136"/>
      <c r="E27" s="136"/>
      <c r="F27" s="136"/>
      <c r="G27" s="136"/>
      <c r="H27" s="136"/>
      <c r="I27" s="136"/>
      <c r="J27" s="136"/>
      <c r="K27" s="136"/>
      <c r="L27" s="136"/>
      <c r="M27" s="136"/>
      <c r="N27" s="136"/>
      <c r="O27" s="136"/>
      <c r="P27" s="136"/>
      <c r="Q27" s="136"/>
      <c r="R27" s="136"/>
      <c r="S27" s="302"/>
      <c r="T27" s="547"/>
    </row>
    <row r="28" spans="1:20" x14ac:dyDescent="0.25">
      <c r="A28" s="509"/>
      <c r="B28" s="136"/>
      <c r="C28" s="136"/>
      <c r="D28" s="136"/>
      <c r="E28" s="136"/>
      <c r="F28" s="136"/>
      <c r="G28" s="136"/>
      <c r="H28" s="136"/>
      <c r="I28" s="136"/>
      <c r="J28" s="136"/>
      <c r="K28" s="136"/>
      <c r="L28" s="136"/>
      <c r="M28" s="136"/>
      <c r="N28" s="136"/>
      <c r="O28" s="136"/>
      <c r="P28" s="136"/>
      <c r="Q28" s="136"/>
      <c r="R28" s="136"/>
      <c r="S28" s="302"/>
      <c r="T28" s="547"/>
    </row>
    <row r="29" spans="1:20" x14ac:dyDescent="0.25">
      <c r="A29" s="509"/>
      <c r="B29" s="136"/>
      <c r="C29" s="136"/>
      <c r="D29" s="136"/>
      <c r="E29" s="136"/>
      <c r="F29" s="136"/>
      <c r="G29" s="136"/>
      <c r="H29" s="136"/>
      <c r="I29" s="136"/>
      <c r="J29" s="136"/>
      <c r="K29" s="136"/>
      <c r="L29" s="136"/>
      <c r="M29" s="136"/>
      <c r="N29" s="136"/>
      <c r="O29" s="136"/>
      <c r="P29" s="136"/>
      <c r="Q29" s="136"/>
      <c r="R29" s="136"/>
      <c r="S29" s="302"/>
      <c r="T29" s="547"/>
    </row>
    <row r="30" spans="1:20" x14ac:dyDescent="0.25">
      <c r="A30" s="509"/>
      <c r="B30" s="136"/>
      <c r="C30" s="136"/>
      <c r="D30" s="136"/>
      <c r="E30" s="136"/>
      <c r="F30" s="136"/>
      <c r="G30" s="136"/>
      <c r="H30" s="136"/>
      <c r="I30" s="136"/>
      <c r="J30" s="136"/>
      <c r="K30" s="136"/>
      <c r="L30" s="136"/>
      <c r="M30" s="136"/>
      <c r="N30" s="136"/>
      <c r="O30" s="136"/>
      <c r="P30" s="136"/>
      <c r="Q30" s="136"/>
      <c r="R30" s="136"/>
      <c r="S30" s="302"/>
      <c r="T30" s="547"/>
    </row>
    <row r="31" spans="1:20" x14ac:dyDescent="0.25">
      <c r="A31" s="509"/>
      <c r="B31" s="136"/>
      <c r="C31" s="136"/>
      <c r="D31" s="136"/>
      <c r="E31" s="136"/>
      <c r="F31" s="136"/>
      <c r="G31" s="136"/>
      <c r="H31" s="136"/>
      <c r="I31" s="136"/>
      <c r="J31" s="136"/>
      <c r="K31" s="136"/>
      <c r="L31" s="136"/>
      <c r="M31" s="136"/>
      <c r="N31" s="136"/>
      <c r="O31" s="136"/>
      <c r="P31" s="136"/>
      <c r="Q31" s="136"/>
      <c r="R31" s="136"/>
      <c r="S31" s="302"/>
      <c r="T31" s="547"/>
    </row>
    <row r="32" spans="1:20" x14ac:dyDescent="0.25">
      <c r="A32" s="509"/>
      <c r="B32" s="136"/>
      <c r="C32" s="136"/>
      <c r="D32" s="136"/>
      <c r="E32" s="136"/>
      <c r="F32" s="136"/>
      <c r="G32" s="136"/>
      <c r="H32" s="136"/>
      <c r="I32" s="136"/>
      <c r="J32" s="136"/>
      <c r="K32" s="136"/>
      <c r="L32" s="136"/>
      <c r="M32" s="136"/>
      <c r="N32" s="136"/>
      <c r="O32" s="136"/>
      <c r="P32" s="136"/>
      <c r="Q32" s="136"/>
      <c r="R32" s="136"/>
      <c r="S32" s="302"/>
      <c r="T32" s="547"/>
    </row>
    <row r="33" spans="1:20" x14ac:dyDescent="0.25">
      <c r="A33" s="509"/>
      <c r="B33" s="136"/>
      <c r="C33" s="136"/>
      <c r="D33" s="136"/>
      <c r="E33" s="136"/>
      <c r="F33" s="136"/>
      <c r="G33" s="136"/>
      <c r="H33" s="136"/>
      <c r="I33" s="136"/>
      <c r="J33" s="136"/>
      <c r="K33" s="136"/>
      <c r="L33" s="136"/>
      <c r="M33" s="136"/>
      <c r="N33" s="136"/>
      <c r="O33" s="136"/>
      <c r="P33" s="136"/>
      <c r="Q33" s="136"/>
      <c r="R33" s="136"/>
      <c r="S33" s="302"/>
      <c r="T33" s="547"/>
    </row>
    <row r="34" spans="1:20" x14ac:dyDescent="0.25">
      <c r="A34" s="509"/>
      <c r="B34" s="136"/>
      <c r="C34" s="136"/>
      <c r="D34" s="136"/>
      <c r="E34" s="136"/>
      <c r="F34" s="136"/>
      <c r="G34" s="136"/>
      <c r="H34" s="136"/>
      <c r="I34" s="136"/>
      <c r="J34" s="136"/>
      <c r="K34" s="136"/>
      <c r="L34" s="136"/>
      <c r="M34" s="136"/>
      <c r="N34" s="136"/>
      <c r="O34" s="136"/>
      <c r="P34" s="136"/>
      <c r="Q34" s="136"/>
      <c r="R34" s="136"/>
      <c r="S34" s="302"/>
      <c r="T34" s="547"/>
    </row>
    <row r="35" spans="1:20" x14ac:dyDescent="0.25">
      <c r="A35" s="509"/>
      <c r="B35" s="136"/>
      <c r="C35" s="136"/>
      <c r="D35" s="136"/>
      <c r="E35" s="136"/>
      <c r="F35" s="136"/>
      <c r="G35" s="136"/>
      <c r="H35" s="136"/>
      <c r="I35" s="136"/>
      <c r="J35" s="136"/>
      <c r="K35" s="136"/>
      <c r="L35" s="136"/>
      <c r="M35" s="136"/>
      <c r="N35" s="136"/>
      <c r="O35" s="136"/>
      <c r="P35" s="136"/>
      <c r="Q35" s="136"/>
      <c r="R35" s="136"/>
      <c r="S35" s="302"/>
      <c r="T35" s="547"/>
    </row>
    <row r="36" spans="1:20" x14ac:dyDescent="0.25">
      <c r="A36" s="509"/>
      <c r="B36" s="136"/>
      <c r="C36" s="136"/>
      <c r="D36" s="136"/>
      <c r="E36" s="136"/>
      <c r="F36" s="136"/>
      <c r="G36" s="136"/>
      <c r="H36" s="136"/>
      <c r="I36" s="136"/>
      <c r="J36" s="136"/>
      <c r="K36" s="136"/>
      <c r="L36" s="136"/>
      <c r="M36" s="136"/>
      <c r="N36" s="136"/>
      <c r="O36" s="136"/>
      <c r="P36" s="136"/>
      <c r="Q36" s="136"/>
      <c r="R36" s="136"/>
      <c r="S36" s="302"/>
      <c r="T36" s="547"/>
    </row>
    <row r="37" spans="1:20" x14ac:dyDescent="0.25">
      <c r="A37" s="509"/>
      <c r="B37" s="136"/>
      <c r="C37" s="136"/>
      <c r="D37" s="136"/>
      <c r="E37" s="136"/>
      <c r="F37" s="136"/>
      <c r="G37" s="136"/>
      <c r="H37" s="136"/>
      <c r="I37" s="136"/>
      <c r="J37" s="136"/>
      <c r="K37" s="136"/>
      <c r="L37" s="136"/>
      <c r="M37" s="136"/>
      <c r="N37" s="136"/>
      <c r="O37" s="136"/>
      <c r="P37" s="136"/>
      <c r="Q37" s="136"/>
      <c r="R37" s="136"/>
      <c r="S37" s="302"/>
      <c r="T37" s="547"/>
    </row>
    <row r="38" spans="1:20" x14ac:dyDescent="0.25">
      <c r="A38" s="509"/>
      <c r="B38" s="136"/>
      <c r="C38" s="136"/>
      <c r="D38" s="136"/>
      <c r="E38" s="136"/>
      <c r="F38" s="136"/>
      <c r="G38" s="136"/>
      <c r="H38" s="136"/>
      <c r="I38" s="136"/>
      <c r="J38" s="136"/>
      <c r="K38" s="136"/>
      <c r="L38" s="136"/>
      <c r="M38" s="136"/>
      <c r="N38" s="136"/>
      <c r="O38" s="136"/>
      <c r="P38" s="136"/>
      <c r="Q38" s="136"/>
      <c r="R38" s="136"/>
      <c r="S38" s="302"/>
      <c r="T38" s="547"/>
    </row>
    <row r="39" spans="1:20" x14ac:dyDescent="0.25">
      <c r="A39" s="509"/>
      <c r="B39" s="136"/>
      <c r="C39" s="136"/>
      <c r="D39" s="136"/>
      <c r="E39" s="136"/>
      <c r="F39" s="136"/>
      <c r="G39" s="136"/>
      <c r="H39" s="136"/>
      <c r="I39" s="136"/>
      <c r="J39" s="136"/>
      <c r="K39" s="136"/>
      <c r="L39" s="136"/>
      <c r="M39" s="136"/>
      <c r="N39" s="136"/>
      <c r="O39" s="136"/>
      <c r="P39" s="136"/>
      <c r="Q39" s="136"/>
      <c r="R39" s="136"/>
      <c r="S39" s="302"/>
      <c r="T39" s="547"/>
    </row>
    <row r="40" spans="1:20" x14ac:dyDescent="0.25">
      <c r="A40" s="509"/>
      <c r="B40" s="136"/>
      <c r="C40" s="136"/>
      <c r="D40" s="136"/>
      <c r="E40" s="136"/>
      <c r="F40" s="136"/>
      <c r="G40" s="136"/>
      <c r="H40" s="136"/>
      <c r="I40" s="136"/>
      <c r="J40" s="136"/>
      <c r="K40" s="136"/>
      <c r="L40" s="136"/>
      <c r="M40" s="136"/>
      <c r="N40" s="136"/>
      <c r="O40" s="136"/>
      <c r="P40" s="136"/>
      <c r="Q40" s="136"/>
      <c r="R40" s="136"/>
      <c r="S40" s="302"/>
      <c r="T40" s="547"/>
    </row>
    <row r="41" spans="1:20" x14ac:dyDescent="0.25">
      <c r="A41" s="509"/>
      <c r="B41" s="136"/>
      <c r="C41" s="136"/>
      <c r="D41" s="136"/>
      <c r="E41" s="136"/>
      <c r="F41" s="136"/>
      <c r="G41" s="136"/>
      <c r="H41" s="136"/>
      <c r="I41" s="136"/>
      <c r="J41" s="136"/>
      <c r="K41" s="136"/>
      <c r="L41" s="136"/>
      <c r="M41" s="136"/>
      <c r="N41" s="136"/>
      <c r="O41" s="136"/>
      <c r="P41" s="136"/>
      <c r="Q41" s="136"/>
      <c r="R41" s="136"/>
      <c r="S41" s="302"/>
      <c r="T41" s="547"/>
    </row>
    <row r="42" spans="1:20" x14ac:dyDescent="0.25">
      <c r="A42" s="509"/>
      <c r="B42" s="136"/>
      <c r="C42" s="136"/>
      <c r="D42" s="136"/>
      <c r="E42" s="136"/>
      <c r="F42" s="136"/>
      <c r="G42" s="136"/>
      <c r="H42" s="136"/>
      <c r="I42" s="136"/>
      <c r="J42" s="136"/>
      <c r="K42" s="136"/>
      <c r="L42" s="136"/>
      <c r="M42" s="136"/>
      <c r="N42" s="136"/>
      <c r="O42" s="136"/>
      <c r="P42" s="136"/>
      <c r="Q42" s="136"/>
      <c r="R42" s="136"/>
      <c r="S42" s="302"/>
      <c r="T42" s="547"/>
    </row>
    <row r="43" spans="1:20" x14ac:dyDescent="0.25">
      <c r="A43" s="509"/>
      <c r="B43" s="136"/>
      <c r="C43" s="136"/>
      <c r="D43" s="136"/>
      <c r="E43" s="136"/>
      <c r="F43" s="136"/>
      <c r="G43" s="136"/>
      <c r="H43" s="136"/>
      <c r="I43" s="136"/>
      <c r="J43" s="136"/>
      <c r="K43" s="136"/>
      <c r="L43" s="136"/>
      <c r="M43" s="136"/>
      <c r="N43" s="136"/>
      <c r="O43" s="136"/>
      <c r="P43" s="136"/>
      <c r="Q43" s="136"/>
      <c r="R43" s="136"/>
      <c r="S43" s="302"/>
      <c r="T43" s="547"/>
    </row>
    <row r="44" spans="1:20" x14ac:dyDescent="0.25">
      <c r="A44" s="509"/>
      <c r="B44" s="136"/>
      <c r="C44" s="136"/>
      <c r="D44" s="136"/>
      <c r="E44" s="136"/>
      <c r="F44" s="136"/>
      <c r="G44" s="136"/>
      <c r="H44" s="136"/>
      <c r="I44" s="136"/>
      <c r="J44" s="136"/>
      <c r="K44" s="136"/>
      <c r="L44" s="136"/>
      <c r="M44" s="136"/>
      <c r="N44" s="136"/>
      <c r="O44" s="136"/>
      <c r="P44" s="136"/>
      <c r="Q44" s="136"/>
      <c r="R44" s="136"/>
      <c r="S44" s="302"/>
      <c r="T44" s="547"/>
    </row>
    <row r="45" spans="1:20" x14ac:dyDescent="0.25">
      <c r="A45" s="509"/>
      <c r="B45" s="136"/>
      <c r="C45" s="136"/>
      <c r="D45" s="136"/>
      <c r="E45" s="136"/>
      <c r="F45" s="136"/>
      <c r="G45" s="136"/>
      <c r="H45" s="136"/>
      <c r="I45" s="136"/>
      <c r="J45" s="136"/>
      <c r="K45" s="136"/>
      <c r="L45" s="136"/>
      <c r="M45" s="136"/>
      <c r="N45" s="136"/>
      <c r="O45" s="136"/>
      <c r="P45" s="136"/>
      <c r="Q45" s="136"/>
      <c r="R45" s="136"/>
      <c r="S45" s="302"/>
      <c r="T45" s="547"/>
    </row>
    <row r="46" spans="1:20" x14ac:dyDescent="0.25">
      <c r="A46" s="509"/>
      <c r="B46" s="136"/>
      <c r="C46" s="136"/>
      <c r="D46" s="136"/>
      <c r="E46" s="136"/>
      <c r="F46" s="136"/>
      <c r="G46" s="136"/>
      <c r="H46" s="136"/>
      <c r="I46" s="136"/>
      <c r="J46" s="136"/>
      <c r="K46" s="136"/>
      <c r="L46" s="136"/>
      <c r="M46" s="136"/>
      <c r="N46" s="136"/>
      <c r="O46" s="136"/>
      <c r="P46" s="136"/>
      <c r="Q46" s="136"/>
      <c r="R46" s="136"/>
      <c r="S46" s="302"/>
      <c r="T46" s="547"/>
    </row>
    <row r="47" spans="1:20" x14ac:dyDescent="0.25">
      <c r="A47" s="509"/>
      <c r="B47" s="136"/>
      <c r="C47" s="136"/>
      <c r="D47" s="136"/>
      <c r="E47" s="136"/>
      <c r="F47" s="136"/>
      <c r="G47" s="136"/>
      <c r="H47" s="136"/>
      <c r="I47" s="136"/>
      <c r="J47" s="136"/>
      <c r="K47" s="136"/>
      <c r="L47" s="136"/>
      <c r="M47" s="136"/>
      <c r="N47" s="136"/>
      <c r="O47" s="136"/>
      <c r="P47" s="136"/>
      <c r="Q47" s="136"/>
      <c r="R47" s="136"/>
      <c r="S47" s="302"/>
      <c r="T47" s="547"/>
    </row>
    <row r="48" spans="1:20" x14ac:dyDescent="0.25">
      <c r="A48" s="509"/>
      <c r="B48" s="136"/>
      <c r="C48" s="136"/>
      <c r="D48" s="136"/>
      <c r="E48" s="136"/>
      <c r="F48" s="136"/>
      <c r="G48" s="136"/>
      <c r="H48" s="136"/>
      <c r="I48" s="136"/>
      <c r="J48" s="136"/>
      <c r="K48" s="136"/>
      <c r="L48" s="136"/>
      <c r="M48" s="136"/>
      <c r="N48" s="136"/>
      <c r="O48" s="136"/>
      <c r="P48" s="136"/>
      <c r="Q48" s="136"/>
      <c r="R48" s="136"/>
      <c r="S48" s="302"/>
      <c r="T48" s="547"/>
    </row>
    <row r="49" spans="1:28" x14ac:dyDescent="0.25">
      <c r="A49" s="509"/>
      <c r="B49" s="136"/>
      <c r="C49" s="136"/>
      <c r="D49" s="136"/>
      <c r="E49" s="136"/>
      <c r="F49" s="136"/>
      <c r="G49" s="136"/>
      <c r="H49" s="136"/>
      <c r="I49" s="136"/>
      <c r="J49" s="136"/>
      <c r="K49" s="136"/>
      <c r="L49" s="136"/>
      <c r="M49" s="136"/>
      <c r="N49" s="136"/>
      <c r="O49" s="136"/>
      <c r="P49" s="136"/>
      <c r="Q49" s="136"/>
      <c r="R49" s="136"/>
      <c r="S49" s="302"/>
      <c r="T49" s="547"/>
    </row>
    <row r="50" spans="1:28" x14ac:dyDescent="0.25">
      <c r="A50" s="509"/>
      <c r="B50" s="136"/>
      <c r="C50" s="136"/>
      <c r="D50" s="136"/>
      <c r="E50" s="136"/>
      <c r="F50" s="136"/>
      <c r="G50" s="136"/>
      <c r="H50" s="136"/>
      <c r="I50" s="136"/>
      <c r="J50" s="136"/>
      <c r="K50" s="136"/>
      <c r="L50" s="136"/>
      <c r="M50" s="136"/>
      <c r="N50" s="136"/>
      <c r="O50" s="136"/>
      <c r="P50" s="136"/>
      <c r="Q50" s="136"/>
      <c r="R50" s="136"/>
      <c r="S50" s="302"/>
      <c r="T50" s="547"/>
    </row>
    <row r="51" spans="1:28" x14ac:dyDescent="0.25">
      <c r="A51" s="509"/>
      <c r="B51" s="136"/>
      <c r="C51" s="136"/>
      <c r="D51" s="136"/>
      <c r="E51" s="136"/>
      <c r="F51" s="136"/>
      <c r="G51" s="136"/>
      <c r="H51" s="136"/>
      <c r="I51" s="136"/>
      <c r="J51" s="136"/>
      <c r="K51" s="136"/>
      <c r="L51" s="136"/>
      <c r="M51" s="136"/>
      <c r="N51" s="136"/>
      <c r="O51" s="136"/>
      <c r="P51" s="136"/>
      <c r="Q51" s="136"/>
      <c r="R51" s="136"/>
      <c r="S51" s="302"/>
      <c r="T51" s="547"/>
    </row>
    <row r="52" spans="1:28" x14ac:dyDescent="0.25">
      <c r="A52" s="509"/>
      <c r="B52" s="136"/>
      <c r="C52" s="136"/>
      <c r="D52" s="136"/>
      <c r="E52" s="136"/>
      <c r="F52" s="136"/>
      <c r="G52" s="136"/>
      <c r="H52" s="136"/>
      <c r="I52" s="136"/>
      <c r="J52" s="136"/>
      <c r="K52" s="136"/>
      <c r="L52" s="136"/>
      <c r="M52" s="136"/>
      <c r="N52" s="136"/>
      <c r="O52" s="136"/>
      <c r="P52" s="136"/>
      <c r="Q52" s="136"/>
      <c r="R52" s="136"/>
      <c r="S52" s="302"/>
      <c r="T52" s="547"/>
    </row>
    <row r="53" spans="1:28" x14ac:dyDescent="0.25">
      <c r="A53" s="509"/>
      <c r="B53" s="136"/>
      <c r="C53" s="136"/>
      <c r="D53" s="136"/>
      <c r="E53" s="136"/>
      <c r="F53" s="136"/>
      <c r="G53" s="136"/>
      <c r="H53" s="136"/>
      <c r="I53" s="136"/>
      <c r="J53" s="136"/>
      <c r="K53" s="136"/>
      <c r="L53" s="136"/>
      <c r="M53" s="136"/>
      <c r="N53" s="136"/>
      <c r="O53" s="136"/>
      <c r="P53" s="136"/>
      <c r="Q53" s="136"/>
      <c r="R53" s="136"/>
      <c r="S53" s="302"/>
      <c r="T53" s="547"/>
    </row>
    <row r="54" spans="1:28" x14ac:dyDescent="0.25">
      <c r="A54" s="509"/>
      <c r="B54" s="136"/>
      <c r="C54" s="136"/>
      <c r="D54" s="136"/>
      <c r="E54" s="136"/>
      <c r="F54" s="136"/>
      <c r="G54" s="136"/>
      <c r="H54" s="136"/>
      <c r="I54" s="136"/>
      <c r="J54" s="136"/>
      <c r="K54" s="136"/>
      <c r="L54" s="136"/>
      <c r="M54" s="136"/>
      <c r="N54" s="136"/>
      <c r="O54" s="136"/>
      <c r="P54" s="136"/>
      <c r="Q54" s="136"/>
      <c r="R54" s="136"/>
      <c r="S54" s="302"/>
      <c r="T54" s="547"/>
    </row>
    <row r="55" spans="1:28" ht="31.5" customHeight="1" thickBot="1" x14ac:dyDescent="0.3">
      <c r="A55" s="509"/>
      <c r="B55" s="136"/>
      <c r="C55" s="136"/>
      <c r="D55" s="136"/>
      <c r="E55" s="136"/>
      <c r="F55" s="136"/>
      <c r="G55" s="136"/>
      <c r="H55" s="136"/>
      <c r="I55" s="136"/>
      <c r="J55" s="136"/>
      <c r="K55" s="136"/>
      <c r="L55" s="136"/>
      <c r="M55" s="136"/>
      <c r="N55" s="136"/>
      <c r="O55" s="136"/>
      <c r="P55" s="136"/>
      <c r="Q55" s="136"/>
      <c r="R55" s="136"/>
      <c r="S55" s="302"/>
      <c r="T55" s="547"/>
    </row>
    <row r="56" spans="1:28" ht="84.75" customHeight="1" thickBot="1" x14ac:dyDescent="0.3">
      <c r="A56" s="509"/>
      <c r="B56" s="770" t="s">
        <v>342</v>
      </c>
      <c r="C56" s="771"/>
      <c r="D56" s="771"/>
      <c r="E56" s="771"/>
      <c r="F56" s="771"/>
      <c r="G56" s="771"/>
      <c r="H56" s="771"/>
      <c r="I56" s="771"/>
      <c r="J56" s="771"/>
      <c r="K56" s="771"/>
      <c r="L56" s="771"/>
      <c r="M56" s="771"/>
      <c r="N56" s="771"/>
      <c r="O56" s="772"/>
      <c r="P56" s="136"/>
      <c r="Q56" s="136"/>
      <c r="R56" s="136"/>
      <c r="S56" s="302"/>
      <c r="T56" s="547"/>
      <c r="W56" s="736"/>
      <c r="X56" s="736"/>
      <c r="Y56" s="736"/>
      <c r="Z56" s="736"/>
      <c r="AA56" s="736"/>
      <c r="AB56" s="736"/>
    </row>
    <row r="57" spans="1:28" ht="18.75" thickBot="1" x14ac:dyDescent="0.3">
      <c r="A57" s="509"/>
      <c r="B57" s="773" t="s">
        <v>123</v>
      </c>
      <c r="C57" s="776"/>
      <c r="D57" s="776"/>
      <c r="E57" s="776"/>
      <c r="F57" s="776"/>
      <c r="G57" s="776"/>
      <c r="H57" s="776"/>
      <c r="I57" s="776"/>
      <c r="J57" s="776"/>
      <c r="K57" s="776"/>
      <c r="L57" s="776"/>
      <c r="M57" s="776"/>
      <c r="N57" s="776"/>
      <c r="O57" s="777"/>
      <c r="P57" s="136"/>
      <c r="Q57" s="136"/>
      <c r="R57" s="136"/>
      <c r="S57" s="302"/>
      <c r="T57" s="547"/>
    </row>
    <row r="58" spans="1:28" x14ac:dyDescent="0.25">
      <c r="A58" s="509"/>
      <c r="B58" s="774"/>
      <c r="C58" s="759" t="s">
        <v>45</v>
      </c>
      <c r="D58" s="778"/>
      <c r="E58" s="781"/>
      <c r="F58" s="759" t="s">
        <v>46</v>
      </c>
      <c r="G58" s="778"/>
      <c r="H58" s="779"/>
      <c r="I58" s="782"/>
      <c r="J58" s="780" t="s">
        <v>47</v>
      </c>
      <c r="K58" s="778"/>
      <c r="L58" s="781"/>
      <c r="M58" s="759" t="s">
        <v>48</v>
      </c>
      <c r="N58" s="778"/>
      <c r="O58" s="781"/>
      <c r="P58" s="136"/>
      <c r="Q58" s="136"/>
      <c r="R58" s="136"/>
      <c r="S58" s="302"/>
      <c r="T58" s="547"/>
    </row>
    <row r="59" spans="1:28" ht="15.75" thickBot="1" x14ac:dyDescent="0.3">
      <c r="A59" s="509"/>
      <c r="B59" s="775"/>
      <c r="C59" s="171" t="s">
        <v>49</v>
      </c>
      <c r="D59" s="172" t="s">
        <v>53</v>
      </c>
      <c r="E59" s="173" t="s">
        <v>54</v>
      </c>
      <c r="F59" s="171" t="s">
        <v>49</v>
      </c>
      <c r="G59" s="172" t="s">
        <v>53</v>
      </c>
      <c r="H59" s="174" t="s">
        <v>54</v>
      </c>
      <c r="I59" s="783"/>
      <c r="J59" s="175" t="s">
        <v>49</v>
      </c>
      <c r="K59" s="172" t="s">
        <v>53</v>
      </c>
      <c r="L59" s="173" t="s">
        <v>54</v>
      </c>
      <c r="M59" s="171" t="s">
        <v>49</v>
      </c>
      <c r="N59" s="172" t="s">
        <v>53</v>
      </c>
      <c r="O59" s="173" t="s">
        <v>54</v>
      </c>
      <c r="P59" s="136"/>
      <c r="Q59" s="136"/>
      <c r="R59" s="136"/>
      <c r="S59" s="302"/>
      <c r="T59" s="547"/>
    </row>
    <row r="60" spans="1:28" x14ac:dyDescent="0.25">
      <c r="A60" s="509"/>
      <c r="B60" s="759" t="s">
        <v>50</v>
      </c>
      <c r="C60" s="767">
        <v>3</v>
      </c>
      <c r="D60" s="788">
        <v>3</v>
      </c>
      <c r="E60" s="789">
        <v>2</v>
      </c>
      <c r="F60" s="767">
        <v>4</v>
      </c>
      <c r="G60" s="788">
        <v>4</v>
      </c>
      <c r="H60" s="790">
        <v>2</v>
      </c>
      <c r="I60" s="176" t="s">
        <v>93</v>
      </c>
      <c r="J60" s="177">
        <v>4.5</v>
      </c>
      <c r="K60" s="178">
        <v>4.5</v>
      </c>
      <c r="L60" s="179">
        <v>2.5</v>
      </c>
      <c r="M60" s="180">
        <v>5</v>
      </c>
      <c r="N60" s="178">
        <v>5</v>
      </c>
      <c r="O60" s="179">
        <v>3</v>
      </c>
      <c r="P60" s="136"/>
      <c r="Q60" s="136"/>
      <c r="R60" s="136"/>
      <c r="S60" s="302"/>
      <c r="T60" s="547"/>
    </row>
    <row r="61" spans="1:28" x14ac:dyDescent="0.25">
      <c r="A61" s="509"/>
      <c r="B61" s="760"/>
      <c r="C61" s="768"/>
      <c r="D61" s="784"/>
      <c r="E61" s="786"/>
      <c r="F61" s="768"/>
      <c r="G61" s="784"/>
      <c r="H61" s="757"/>
      <c r="I61" s="181" t="s">
        <v>94</v>
      </c>
      <c r="J61" s="182">
        <v>4.5</v>
      </c>
      <c r="K61" s="183">
        <v>4.5</v>
      </c>
      <c r="L61" s="184">
        <v>2.75</v>
      </c>
      <c r="M61" s="185">
        <v>5</v>
      </c>
      <c r="N61" s="183">
        <v>5</v>
      </c>
      <c r="O61" s="186">
        <v>3.5</v>
      </c>
      <c r="P61" s="136"/>
      <c r="Q61" s="136"/>
      <c r="R61" s="136"/>
      <c r="S61" s="302"/>
      <c r="T61" s="547"/>
    </row>
    <row r="62" spans="1:28" ht="15.75" thickBot="1" x14ac:dyDescent="0.3">
      <c r="A62" s="509"/>
      <c r="B62" s="761"/>
      <c r="C62" s="769"/>
      <c r="D62" s="785"/>
      <c r="E62" s="787"/>
      <c r="F62" s="769"/>
      <c r="G62" s="785"/>
      <c r="H62" s="758"/>
      <c r="I62" s="187" t="s">
        <v>95</v>
      </c>
      <c r="J62" s="188">
        <v>4.5</v>
      </c>
      <c r="K62" s="189">
        <v>4.5</v>
      </c>
      <c r="L62" s="190">
        <v>3</v>
      </c>
      <c r="M62" s="191">
        <v>5</v>
      </c>
      <c r="N62" s="189">
        <v>5</v>
      </c>
      <c r="O62" s="190">
        <v>4</v>
      </c>
      <c r="P62" s="136"/>
      <c r="Q62" s="136"/>
      <c r="R62" s="136"/>
      <c r="S62" s="302"/>
      <c r="T62" s="547"/>
    </row>
    <row r="63" spans="1:28" x14ac:dyDescent="0.25">
      <c r="A63" s="509"/>
      <c r="B63" s="759" t="s">
        <v>51</v>
      </c>
      <c r="C63" s="767">
        <v>3.5</v>
      </c>
      <c r="D63" s="788">
        <v>3.5</v>
      </c>
      <c r="E63" s="789">
        <v>2.5</v>
      </c>
      <c r="F63" s="767">
        <v>4.5</v>
      </c>
      <c r="G63" s="788">
        <v>4.5</v>
      </c>
      <c r="H63" s="790">
        <v>2.5</v>
      </c>
      <c r="I63" s="176" t="s">
        <v>93</v>
      </c>
      <c r="J63" s="177">
        <v>5</v>
      </c>
      <c r="K63" s="178">
        <v>5</v>
      </c>
      <c r="L63" s="179">
        <v>3</v>
      </c>
      <c r="M63" s="180">
        <v>5.5</v>
      </c>
      <c r="N63" s="178">
        <v>5.5</v>
      </c>
      <c r="O63" s="179">
        <v>3.5</v>
      </c>
      <c r="P63" s="136"/>
      <c r="Q63" s="136"/>
      <c r="R63" s="136"/>
      <c r="S63" s="302"/>
      <c r="T63" s="547"/>
    </row>
    <row r="64" spans="1:28" x14ac:dyDescent="0.25">
      <c r="A64" s="509"/>
      <c r="B64" s="760"/>
      <c r="C64" s="768"/>
      <c r="D64" s="784"/>
      <c r="E64" s="786"/>
      <c r="F64" s="768"/>
      <c r="G64" s="784"/>
      <c r="H64" s="757"/>
      <c r="I64" s="181" t="s">
        <v>94</v>
      </c>
      <c r="J64" s="182">
        <v>5</v>
      </c>
      <c r="K64" s="183">
        <v>5</v>
      </c>
      <c r="L64" s="186">
        <v>3.25</v>
      </c>
      <c r="M64" s="185">
        <v>5.5</v>
      </c>
      <c r="N64" s="183">
        <v>5.5</v>
      </c>
      <c r="O64" s="186">
        <v>4</v>
      </c>
      <c r="P64" s="136"/>
      <c r="Q64" s="136"/>
      <c r="R64" s="136"/>
      <c r="S64" s="302"/>
      <c r="T64" s="547"/>
    </row>
    <row r="65" spans="1:20" ht="15.75" thickBot="1" x14ac:dyDescent="0.3">
      <c r="A65" s="509"/>
      <c r="B65" s="761"/>
      <c r="C65" s="769"/>
      <c r="D65" s="785"/>
      <c r="E65" s="787"/>
      <c r="F65" s="769"/>
      <c r="G65" s="785"/>
      <c r="H65" s="758"/>
      <c r="I65" s="187" t="s">
        <v>95</v>
      </c>
      <c r="J65" s="188">
        <v>5</v>
      </c>
      <c r="K65" s="189">
        <v>5</v>
      </c>
      <c r="L65" s="190">
        <v>3.5</v>
      </c>
      <c r="M65" s="191">
        <v>5.5</v>
      </c>
      <c r="N65" s="189">
        <v>5.5</v>
      </c>
      <c r="O65" s="190">
        <v>4.5</v>
      </c>
      <c r="P65" s="136"/>
      <c r="Q65" s="136"/>
      <c r="R65" s="136"/>
      <c r="S65" s="302"/>
      <c r="T65" s="547"/>
    </row>
    <row r="66" spans="1:20" x14ac:dyDescent="0.25">
      <c r="A66" s="509"/>
      <c r="B66" s="759" t="s">
        <v>52</v>
      </c>
      <c r="C66" s="767">
        <v>4</v>
      </c>
      <c r="D66" s="784">
        <v>4</v>
      </c>
      <c r="E66" s="786">
        <v>3</v>
      </c>
      <c r="F66" s="768">
        <v>5</v>
      </c>
      <c r="G66" s="784">
        <v>5</v>
      </c>
      <c r="H66" s="757">
        <v>3</v>
      </c>
      <c r="I66" s="192" t="s">
        <v>93</v>
      </c>
      <c r="J66" s="193">
        <v>5.5</v>
      </c>
      <c r="K66" s="194">
        <v>5.5</v>
      </c>
      <c r="L66" s="195">
        <v>3.5</v>
      </c>
      <c r="M66" s="196">
        <v>6</v>
      </c>
      <c r="N66" s="194">
        <v>6</v>
      </c>
      <c r="O66" s="195">
        <v>4</v>
      </c>
      <c r="P66" s="136"/>
      <c r="Q66" s="136"/>
      <c r="R66" s="136"/>
      <c r="S66" s="302"/>
      <c r="T66" s="547"/>
    </row>
    <row r="67" spans="1:20" x14ac:dyDescent="0.25">
      <c r="A67" s="509"/>
      <c r="B67" s="760"/>
      <c r="C67" s="768"/>
      <c r="D67" s="784"/>
      <c r="E67" s="786"/>
      <c r="F67" s="768"/>
      <c r="G67" s="784"/>
      <c r="H67" s="757"/>
      <c r="I67" s="181" t="s">
        <v>94</v>
      </c>
      <c r="J67" s="182">
        <v>5.5</v>
      </c>
      <c r="K67" s="183">
        <v>5.5</v>
      </c>
      <c r="L67" s="186">
        <v>3.75</v>
      </c>
      <c r="M67" s="185">
        <v>6</v>
      </c>
      <c r="N67" s="183">
        <v>6</v>
      </c>
      <c r="O67" s="186">
        <v>4.5</v>
      </c>
      <c r="P67" s="136"/>
      <c r="Q67" s="136"/>
      <c r="R67" s="136"/>
      <c r="S67" s="302"/>
      <c r="T67" s="547"/>
    </row>
    <row r="68" spans="1:20" ht="15.75" thickBot="1" x14ac:dyDescent="0.3">
      <c r="A68" s="509"/>
      <c r="B68" s="761"/>
      <c r="C68" s="769"/>
      <c r="D68" s="785"/>
      <c r="E68" s="787"/>
      <c r="F68" s="769"/>
      <c r="G68" s="785"/>
      <c r="H68" s="758"/>
      <c r="I68" s="187" t="s">
        <v>95</v>
      </c>
      <c r="J68" s="188">
        <v>5.5</v>
      </c>
      <c r="K68" s="189">
        <v>5.5</v>
      </c>
      <c r="L68" s="190">
        <v>4</v>
      </c>
      <c r="M68" s="191">
        <v>6</v>
      </c>
      <c r="N68" s="189">
        <v>6</v>
      </c>
      <c r="O68" s="190">
        <v>5</v>
      </c>
      <c r="P68" s="136"/>
      <c r="Q68" s="136"/>
      <c r="R68" s="136"/>
      <c r="S68" s="302"/>
      <c r="T68" s="547"/>
    </row>
    <row r="69" spans="1:20" x14ac:dyDescent="0.25">
      <c r="A69" s="554"/>
      <c r="B69" s="564"/>
      <c r="C69" s="564"/>
      <c r="D69" s="564"/>
      <c r="E69" s="564"/>
      <c r="F69" s="564"/>
      <c r="G69" s="564"/>
      <c r="H69" s="564"/>
      <c r="I69" s="564"/>
      <c r="J69" s="564"/>
      <c r="K69" s="564"/>
      <c r="L69" s="564"/>
      <c r="M69" s="564"/>
      <c r="N69" s="564"/>
      <c r="O69" s="564"/>
      <c r="P69" s="565"/>
      <c r="Q69" s="565"/>
      <c r="R69" s="565"/>
      <c r="S69" s="555"/>
      <c r="T69" s="556"/>
    </row>
    <row r="70" spans="1:20" x14ac:dyDescent="0.25">
      <c r="T70" s="69"/>
    </row>
  </sheetData>
  <sheetProtection algorithmName="SHA-512" hashValue="leniuvtYD5wC6oc3I0LM0WplRUsirlJrCyMzgxpHKlPHOXV1qPevZie/IqUjxHnFk8kSLy8uFxIGyr+ATIouwA==" saltValue="KiQaCpiRqP/i66ZZG1mt6Q==" spinCount="100000" sheet="1" selectLockedCells="1"/>
  <protectedRanges>
    <protectedRange sqref="E6:O7 B20:H20" name="Range1"/>
  </protectedRanges>
  <mergeCells count="46">
    <mergeCell ref="C58:E58"/>
    <mergeCell ref="H63:H65"/>
    <mergeCell ref="D60:D62"/>
    <mergeCell ref="E60:E62"/>
    <mergeCell ref="F60:F62"/>
    <mergeCell ref="G60:G62"/>
    <mergeCell ref="H60:H62"/>
    <mergeCell ref="D66:D68"/>
    <mergeCell ref="E66:E68"/>
    <mergeCell ref="F66:F68"/>
    <mergeCell ref="G66:G68"/>
    <mergeCell ref="D63:D65"/>
    <mergeCell ref="E63:E65"/>
    <mergeCell ref="F63:F65"/>
    <mergeCell ref="G63:G65"/>
    <mergeCell ref="H66:H68"/>
    <mergeCell ref="B63:B65"/>
    <mergeCell ref="B66:B68"/>
    <mergeCell ref="B7:D7"/>
    <mergeCell ref="B60:B62"/>
    <mergeCell ref="E7:O7"/>
    <mergeCell ref="C60:C62"/>
    <mergeCell ref="B56:O56"/>
    <mergeCell ref="B57:B59"/>
    <mergeCell ref="C57:O57"/>
    <mergeCell ref="F58:H58"/>
    <mergeCell ref="J58:L58"/>
    <mergeCell ref="M58:O58"/>
    <mergeCell ref="C66:C68"/>
    <mergeCell ref="C63:C65"/>
    <mergeCell ref="I58:I59"/>
    <mergeCell ref="W56:AB56"/>
    <mergeCell ref="B2:P2"/>
    <mergeCell ref="B9:Q9"/>
    <mergeCell ref="B10:Q10"/>
    <mergeCell ref="B11:Q11"/>
    <mergeCell ref="B13:P13"/>
    <mergeCell ref="B6:D6"/>
    <mergeCell ref="E6:O6"/>
    <mergeCell ref="C19:E19"/>
    <mergeCell ref="C20:E20"/>
    <mergeCell ref="F19:H19"/>
    <mergeCell ref="F20:H20"/>
    <mergeCell ref="B16:Q16"/>
    <mergeCell ref="B18:H18"/>
    <mergeCell ref="B15:T15"/>
  </mergeCells>
  <printOptions horizontalCentered="1" verticalCentered="1"/>
  <pageMargins left="0.78740157480314965" right="0.78740157480314965" top="1.1811023622047245" bottom="0.59055118110236227" header="0.51181102362204722" footer="0.51181102362204722"/>
  <pageSetup paperSize="9" scale="65" orientation="portrait"/>
  <headerFooter>
    <oddHeader>&amp;L&amp;"Times New Roman,Halvfet"&amp;16Microbial barriere analysis (MBA)
Operational tool&amp;C&amp;"Times New Roman,Halvfet"&amp;16&amp;A&amp;R&amp;"Times New Roman,Halvfet"&amp;16Page &amp;P of &amp;N
&amp;D</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A1:M29"/>
  <sheetViews>
    <sheetView topLeftCell="A16" workbookViewId="0">
      <selection activeCell="H36" sqref="H36"/>
    </sheetView>
  </sheetViews>
  <sheetFormatPr baseColWidth="10" defaultColWidth="10.7109375" defaultRowHeight="15" x14ac:dyDescent="0.25"/>
  <cols>
    <col min="1" max="1" width="3" style="1" customWidth="1"/>
    <col min="2" max="2" width="14.42578125" style="37" customWidth="1"/>
    <col min="3" max="3" width="25.42578125" style="1" customWidth="1"/>
    <col min="4" max="4" width="100.140625" style="1" customWidth="1"/>
    <col min="5" max="5" width="9.7109375" style="37" customWidth="1"/>
    <col min="6" max="6" width="8.42578125" style="37" customWidth="1"/>
    <col min="7" max="7" width="10.28515625" style="37" customWidth="1"/>
    <col min="8" max="8" width="13.28515625" style="61" customWidth="1"/>
    <col min="9" max="9" width="11.42578125" style="37" customWidth="1"/>
    <col min="10" max="10" width="9.28515625" style="1" customWidth="1"/>
    <col min="11" max="11" width="10.7109375" style="1" customWidth="1"/>
    <col min="12" max="16384" width="10.7109375" style="1"/>
  </cols>
  <sheetData>
    <row r="1" spans="1:12" ht="15.75" thickBot="1" x14ac:dyDescent="0.3">
      <c r="A1" s="544"/>
      <c r="B1" s="545"/>
      <c r="C1" s="545"/>
      <c r="D1" s="545"/>
      <c r="E1" s="545"/>
      <c r="F1" s="545"/>
      <c r="G1" s="545"/>
      <c r="H1" s="545"/>
      <c r="I1" s="545"/>
      <c r="J1" s="545"/>
      <c r="K1" s="545"/>
      <c r="L1" s="559"/>
    </row>
    <row r="2" spans="1:12" ht="28.5" customHeight="1" x14ac:dyDescent="0.25">
      <c r="A2" s="509"/>
      <c r="B2" s="799" t="s">
        <v>116</v>
      </c>
      <c r="C2" s="800"/>
      <c r="D2" s="520" t="str">
        <f>Start!$E$6</f>
        <v>BB</v>
      </c>
      <c r="E2" s="498"/>
      <c r="F2" s="498"/>
      <c r="G2" s="498"/>
      <c r="H2" s="498"/>
      <c r="I2" s="498"/>
      <c r="J2" s="202"/>
      <c r="K2" s="202"/>
      <c r="L2" s="566"/>
    </row>
    <row r="3" spans="1:12" ht="31.5" customHeight="1" thickBot="1" x14ac:dyDescent="0.3">
      <c r="A3" s="509"/>
      <c r="B3" s="801" t="s">
        <v>124</v>
      </c>
      <c r="C3" s="802"/>
      <c r="D3" s="521" t="str">
        <f>Start!$E$7</f>
        <v>VV</v>
      </c>
      <c r="E3" s="498"/>
      <c r="F3" s="498"/>
      <c r="G3" s="498"/>
      <c r="H3" s="498"/>
      <c r="I3" s="498"/>
      <c r="J3" s="202"/>
      <c r="K3" s="202"/>
      <c r="L3" s="566"/>
    </row>
    <row r="4" spans="1:12" ht="18" customHeight="1" thickBot="1" x14ac:dyDescent="0.3">
      <c r="A4" s="509"/>
      <c r="B4" s="796"/>
      <c r="C4" s="796"/>
      <c r="D4" s="796"/>
      <c r="E4" s="498"/>
      <c r="F4" s="498"/>
      <c r="G4" s="498"/>
      <c r="H4" s="498"/>
      <c r="I4" s="498"/>
      <c r="J4" s="202"/>
      <c r="K4" s="202"/>
      <c r="L4" s="566"/>
    </row>
    <row r="5" spans="1:12" ht="47.25" customHeight="1" thickBot="1" x14ac:dyDescent="0.3">
      <c r="A5" s="509"/>
      <c r="B5" s="812" t="s">
        <v>125</v>
      </c>
      <c r="C5" s="813"/>
      <c r="D5" s="813"/>
      <c r="E5" s="146" t="s">
        <v>120</v>
      </c>
      <c r="F5" s="147" t="s">
        <v>121</v>
      </c>
      <c r="G5" s="148" t="s">
        <v>122</v>
      </c>
      <c r="H5" s="372" t="s">
        <v>128</v>
      </c>
      <c r="I5" s="149" t="s">
        <v>120</v>
      </c>
      <c r="J5" s="147" t="s">
        <v>121</v>
      </c>
      <c r="K5" s="148" t="s">
        <v>122</v>
      </c>
      <c r="L5" s="566"/>
    </row>
    <row r="6" spans="1:12" ht="31.5" customHeight="1" x14ac:dyDescent="0.25">
      <c r="A6" s="509"/>
      <c r="B6" s="814" t="s">
        <v>139</v>
      </c>
      <c r="C6" s="817" t="s">
        <v>126</v>
      </c>
      <c r="D6" s="150" t="s">
        <v>127</v>
      </c>
      <c r="E6" s="151">
        <v>0.75</v>
      </c>
      <c r="F6" s="152">
        <v>0.75</v>
      </c>
      <c r="G6" s="153">
        <v>0.5</v>
      </c>
      <c r="H6" s="358" t="s">
        <v>130</v>
      </c>
      <c r="I6" s="151">
        <f>IF(H6="no",0,$E$6)</f>
        <v>0</v>
      </c>
      <c r="J6" s="152">
        <f>IF(H6="no",0,$F$6)</f>
        <v>0</v>
      </c>
      <c r="K6" s="153">
        <f>IF(H6="no",0,$G$6)</f>
        <v>0</v>
      </c>
      <c r="L6" s="566"/>
    </row>
    <row r="7" spans="1:12" ht="33.75" customHeight="1" x14ac:dyDescent="0.25">
      <c r="A7" s="509"/>
      <c r="B7" s="815"/>
      <c r="C7" s="818"/>
      <c r="D7" s="154" t="s">
        <v>344</v>
      </c>
      <c r="E7" s="155">
        <v>0.5</v>
      </c>
      <c r="F7" s="156">
        <v>0.5</v>
      </c>
      <c r="G7" s="157">
        <v>0.25</v>
      </c>
      <c r="H7" s="359" t="s">
        <v>130</v>
      </c>
      <c r="I7" s="158">
        <f>IF(H7="no",0,$E$6)</f>
        <v>0</v>
      </c>
      <c r="J7" s="159">
        <f>IF(H7="no",0,$F$7)</f>
        <v>0</v>
      </c>
      <c r="K7" s="160">
        <f>IF(H7="no",0,$G$7)</f>
        <v>0</v>
      </c>
      <c r="L7" s="566"/>
    </row>
    <row r="8" spans="1:12" ht="36.75" customHeight="1" x14ac:dyDescent="0.25">
      <c r="A8" s="509"/>
      <c r="B8" s="815"/>
      <c r="C8" s="818"/>
      <c r="D8" s="154" t="s">
        <v>443</v>
      </c>
      <c r="E8" s="155">
        <v>0.25</v>
      </c>
      <c r="F8" s="156">
        <v>0.25</v>
      </c>
      <c r="G8" s="157">
        <v>0.15</v>
      </c>
      <c r="H8" s="359" t="s">
        <v>130</v>
      </c>
      <c r="I8" s="161">
        <f>IF(H8="no",0,$E$8)</f>
        <v>0</v>
      </c>
      <c r="J8" s="159">
        <f>IF(H8="no",0,$F$8)</f>
        <v>0</v>
      </c>
      <c r="K8" s="160">
        <f>IF(H8="no",0,$G$8)</f>
        <v>0</v>
      </c>
      <c r="L8" s="566"/>
    </row>
    <row r="9" spans="1:12" ht="28.5" customHeight="1" x14ac:dyDescent="0.25">
      <c r="A9" s="509"/>
      <c r="B9" s="815"/>
      <c r="C9" s="819" t="s">
        <v>131</v>
      </c>
      <c r="D9" s="154" t="s">
        <v>345</v>
      </c>
      <c r="E9" s="155">
        <v>0.75</v>
      </c>
      <c r="F9" s="156">
        <v>0.75</v>
      </c>
      <c r="G9" s="157">
        <v>0.5</v>
      </c>
      <c r="H9" s="359" t="s">
        <v>130</v>
      </c>
      <c r="I9" s="161">
        <f>IF(H9="no",0,$E$9)</f>
        <v>0</v>
      </c>
      <c r="J9" s="159">
        <f>IF(H9="no",0,$F$9)</f>
        <v>0</v>
      </c>
      <c r="K9" s="160">
        <f>IF(H9="no",0,$G$9)</f>
        <v>0</v>
      </c>
      <c r="L9" s="566"/>
    </row>
    <row r="10" spans="1:12" ht="30.75" customHeight="1" x14ac:dyDescent="0.25">
      <c r="A10" s="509"/>
      <c r="B10" s="815"/>
      <c r="C10" s="818"/>
      <c r="D10" s="154" t="s">
        <v>133</v>
      </c>
      <c r="E10" s="155">
        <v>0.25</v>
      </c>
      <c r="F10" s="156">
        <v>0.25</v>
      </c>
      <c r="G10" s="157">
        <v>0.15</v>
      </c>
      <c r="H10" s="359" t="s">
        <v>130</v>
      </c>
      <c r="I10" s="161">
        <f>IF(H10="no",0,$E$10)</f>
        <v>0</v>
      </c>
      <c r="J10" s="159">
        <f>IF(H10="no",0,$F$10)</f>
        <v>0</v>
      </c>
      <c r="K10" s="160">
        <f>IF(H10="no",0,$G$10)</f>
        <v>0</v>
      </c>
      <c r="L10" s="566"/>
    </row>
    <row r="11" spans="1:12" ht="28.5" x14ac:dyDescent="0.25">
      <c r="A11" s="509"/>
      <c r="B11" s="815"/>
      <c r="C11" s="818"/>
      <c r="D11" s="154" t="s">
        <v>134</v>
      </c>
      <c r="E11" s="155">
        <v>0.25</v>
      </c>
      <c r="F11" s="156">
        <v>0.25</v>
      </c>
      <c r="G11" s="157">
        <v>0.15</v>
      </c>
      <c r="H11" s="359" t="s">
        <v>130</v>
      </c>
      <c r="I11" s="161">
        <f>IF(H11="no",0,$E$11)</f>
        <v>0</v>
      </c>
      <c r="J11" s="159">
        <f>IF(H11="no",0,$F$11)</f>
        <v>0</v>
      </c>
      <c r="K11" s="160">
        <f>IF(H11="no",0,$G$11)</f>
        <v>0</v>
      </c>
      <c r="L11" s="566"/>
    </row>
    <row r="12" spans="1:12" ht="33.75" customHeight="1" x14ac:dyDescent="0.25">
      <c r="A12" s="509"/>
      <c r="B12" s="815"/>
      <c r="C12" s="820" t="s">
        <v>132</v>
      </c>
      <c r="D12" s="154" t="s">
        <v>135</v>
      </c>
      <c r="E12" s="155">
        <v>0.5</v>
      </c>
      <c r="F12" s="156">
        <v>0.5</v>
      </c>
      <c r="G12" s="157">
        <v>0.25</v>
      </c>
      <c r="H12" s="359" t="s">
        <v>130</v>
      </c>
      <c r="I12" s="161">
        <f>IF(H12="no",0,$E$12)</f>
        <v>0</v>
      </c>
      <c r="J12" s="159">
        <f>IF(H12="no",0,$F$12)</f>
        <v>0</v>
      </c>
      <c r="K12" s="160">
        <f>IF(H12="no",0,$G$12)</f>
        <v>0</v>
      </c>
      <c r="L12" s="566"/>
    </row>
    <row r="13" spans="1:12" ht="36.75" customHeight="1" thickBot="1" x14ac:dyDescent="0.3">
      <c r="A13" s="509"/>
      <c r="B13" s="815"/>
      <c r="C13" s="821"/>
      <c r="D13" s="154" t="s">
        <v>346</v>
      </c>
      <c r="E13" s="155">
        <v>0.25</v>
      </c>
      <c r="F13" s="156">
        <v>0.25</v>
      </c>
      <c r="G13" s="157">
        <v>0.15</v>
      </c>
      <c r="H13" s="359" t="s">
        <v>130</v>
      </c>
      <c r="I13" s="161">
        <f>IF(H13="no",0,$E$13)</f>
        <v>0</v>
      </c>
      <c r="J13" s="159">
        <f>IF(H13="no",0,$F$13)</f>
        <v>0</v>
      </c>
      <c r="K13" s="160">
        <f>IF(H13="no",0,$G$13)</f>
        <v>0</v>
      </c>
      <c r="L13" s="566"/>
    </row>
    <row r="14" spans="1:12" ht="42.75" customHeight="1" thickBot="1" x14ac:dyDescent="0.3">
      <c r="A14" s="509"/>
      <c r="B14" s="816"/>
      <c r="C14" s="791" t="s">
        <v>136</v>
      </c>
      <c r="D14" s="792"/>
      <c r="E14" s="792"/>
      <c r="F14" s="792"/>
      <c r="G14" s="792"/>
      <c r="H14" s="793"/>
      <c r="I14" s="162">
        <f>IF(SUM(I6:I13)&gt;2,2,SUM(I6:I13))</f>
        <v>0</v>
      </c>
      <c r="J14" s="163">
        <f>IF(SUM(J6:J13)&gt;2,2,SUM(J6:J13))</f>
        <v>0</v>
      </c>
      <c r="K14" s="164">
        <f>IF(SUM(K6:K13)&gt;1.25,1.25,SUM(K6:K13))</f>
        <v>0</v>
      </c>
      <c r="L14" s="566"/>
    </row>
    <row r="15" spans="1:12" ht="15.75" customHeight="1" thickBot="1" x14ac:dyDescent="0.3">
      <c r="A15" s="509"/>
      <c r="B15" s="798"/>
      <c r="C15" s="798"/>
      <c r="D15" s="798"/>
      <c r="E15" s="798"/>
      <c r="F15" s="798"/>
      <c r="G15" s="798"/>
      <c r="H15" s="798"/>
      <c r="I15" s="798"/>
      <c r="J15" s="798"/>
      <c r="K15" s="798"/>
      <c r="L15" s="566"/>
    </row>
    <row r="16" spans="1:12" ht="35.1" customHeight="1" x14ac:dyDescent="0.25">
      <c r="A16" s="509"/>
      <c r="B16" s="794" t="s">
        <v>141</v>
      </c>
      <c r="C16" s="806" t="s">
        <v>137</v>
      </c>
      <c r="D16" s="645" t="s">
        <v>142</v>
      </c>
      <c r="E16" s="165">
        <v>0.5</v>
      </c>
      <c r="F16" s="166">
        <v>0.5</v>
      </c>
      <c r="G16" s="167">
        <v>0.25</v>
      </c>
      <c r="H16" s="369" t="s">
        <v>130</v>
      </c>
      <c r="I16" s="158">
        <f>IF(H16="no",0,$E$16)</f>
        <v>0</v>
      </c>
      <c r="J16" s="168">
        <f>IF(H16="no",0,$F$16)</f>
        <v>0</v>
      </c>
      <c r="K16" s="169">
        <f>IF(H16="no",0,$G$16)</f>
        <v>0</v>
      </c>
      <c r="L16" s="566"/>
    </row>
    <row r="17" spans="1:13" ht="35.1" customHeight="1" x14ac:dyDescent="0.25">
      <c r="A17" s="509"/>
      <c r="B17" s="794"/>
      <c r="C17" s="807"/>
      <c r="D17" s="645" t="s">
        <v>143</v>
      </c>
      <c r="E17" s="155">
        <v>0.25</v>
      </c>
      <c r="F17" s="156">
        <v>0.25</v>
      </c>
      <c r="G17" s="157">
        <v>0.15</v>
      </c>
      <c r="H17" s="370" t="s">
        <v>130</v>
      </c>
      <c r="I17" s="161">
        <f>IF(H17="no",0,$E$17)</f>
        <v>0</v>
      </c>
      <c r="J17" s="159">
        <f>IF(H17="no",0,$F$17)</f>
        <v>0</v>
      </c>
      <c r="K17" s="160">
        <f>IF(H17="no",0,$G$17)</f>
        <v>0</v>
      </c>
      <c r="L17" s="566"/>
    </row>
    <row r="18" spans="1:13" ht="37.5" customHeight="1" x14ac:dyDescent="0.25">
      <c r="A18" s="509"/>
      <c r="B18" s="794"/>
      <c r="C18" s="807" t="s">
        <v>138</v>
      </c>
      <c r="D18" s="170" t="s">
        <v>144</v>
      </c>
      <c r="E18" s="809"/>
      <c r="F18" s="810"/>
      <c r="G18" s="810"/>
      <c r="H18" s="811"/>
      <c r="I18" s="803"/>
      <c r="J18" s="804"/>
      <c r="K18" s="805"/>
      <c r="L18" s="566"/>
    </row>
    <row r="19" spans="1:13" ht="23.25" customHeight="1" x14ac:dyDescent="0.25">
      <c r="A19" s="509"/>
      <c r="B19" s="794"/>
      <c r="C19" s="807"/>
      <c r="D19" s="200" t="s">
        <v>145</v>
      </c>
      <c r="E19" s="155">
        <v>0.5</v>
      </c>
      <c r="F19" s="156">
        <v>0.5</v>
      </c>
      <c r="G19" s="157">
        <v>0.25</v>
      </c>
      <c r="H19" s="370" t="s">
        <v>130</v>
      </c>
      <c r="I19" s="161">
        <f>IF(H19="no",0,$E$19)</f>
        <v>0</v>
      </c>
      <c r="J19" s="159">
        <f>IF(H19="no",0,$F$19)</f>
        <v>0</v>
      </c>
      <c r="K19" s="160">
        <f>IF(H19="no",0,$G$19)</f>
        <v>0</v>
      </c>
      <c r="L19" s="566"/>
    </row>
    <row r="20" spans="1:13" ht="22.5" customHeight="1" x14ac:dyDescent="0.25">
      <c r="A20" s="509"/>
      <c r="B20" s="794"/>
      <c r="C20" s="807"/>
      <c r="D20" s="200" t="s">
        <v>347</v>
      </c>
      <c r="E20" s="155">
        <v>0.25</v>
      </c>
      <c r="F20" s="156">
        <v>0.25</v>
      </c>
      <c r="G20" s="157">
        <v>0.15</v>
      </c>
      <c r="H20" s="370" t="s">
        <v>130</v>
      </c>
      <c r="I20" s="161">
        <f>IF(H20="no",0,$E$20)</f>
        <v>0</v>
      </c>
      <c r="J20" s="159">
        <f>IF(H20="no",0,$F$20)</f>
        <v>0</v>
      </c>
      <c r="K20" s="160">
        <f>IF(H20="no",0,$G$20)</f>
        <v>0</v>
      </c>
      <c r="L20" s="566"/>
    </row>
    <row r="21" spans="1:13" ht="22.5" customHeight="1" thickBot="1" x14ac:dyDescent="0.3">
      <c r="A21" s="509"/>
      <c r="B21" s="794"/>
      <c r="C21" s="808"/>
      <c r="D21" s="201" t="s">
        <v>348</v>
      </c>
      <c r="E21" s="197">
        <v>0.25</v>
      </c>
      <c r="F21" s="198">
        <v>0.25</v>
      </c>
      <c r="G21" s="199">
        <v>0.15</v>
      </c>
      <c r="H21" s="371" t="s">
        <v>130</v>
      </c>
      <c r="I21" s="161">
        <f>IF(H21="no",0,$E$21)</f>
        <v>0</v>
      </c>
      <c r="J21" s="159">
        <f>IF(H21="no",0,$F$21)</f>
        <v>0</v>
      </c>
      <c r="K21" s="160">
        <f>IF(H21="no",0,$G$21)</f>
        <v>0</v>
      </c>
      <c r="L21" s="566"/>
    </row>
    <row r="22" spans="1:13" ht="37.5" customHeight="1" thickBot="1" x14ac:dyDescent="0.3">
      <c r="A22" s="509"/>
      <c r="B22" s="795"/>
      <c r="C22" s="791" t="s">
        <v>450</v>
      </c>
      <c r="D22" s="792"/>
      <c r="E22" s="792"/>
      <c r="F22" s="792"/>
      <c r="G22" s="792"/>
      <c r="H22" s="793"/>
      <c r="I22" s="162">
        <f>IF(SUM(I16:I21)&gt;=0.75,"0,75",SUM(I16:I21))</f>
        <v>0</v>
      </c>
      <c r="J22" s="163">
        <f>IF(SUM(J16:J21)&gt;=0.75,"0,75",SUM(J16:J21))</f>
        <v>0</v>
      </c>
      <c r="K22" s="164">
        <f>IF(SUM(K16:K21)&gt;=0.5,"0,50",SUM(K16:K21))</f>
        <v>0</v>
      </c>
      <c r="L22" s="566"/>
      <c r="M22" s="446"/>
    </row>
    <row r="23" spans="1:13" ht="16.5" customHeight="1" thickBot="1" x14ac:dyDescent="0.3">
      <c r="A23" s="509"/>
      <c r="B23" s="797"/>
      <c r="C23" s="797"/>
      <c r="D23" s="797"/>
      <c r="E23" s="797"/>
      <c r="F23" s="797"/>
      <c r="G23" s="797"/>
      <c r="H23" s="797"/>
      <c r="I23" s="797"/>
      <c r="J23" s="797"/>
      <c r="K23" s="797"/>
      <c r="L23" s="566"/>
      <c r="M23" s="446"/>
    </row>
    <row r="24" spans="1:13" ht="59.25" customHeight="1" thickBot="1" x14ac:dyDescent="0.3">
      <c r="A24" s="509"/>
      <c r="B24" s="791" t="s">
        <v>159</v>
      </c>
      <c r="C24" s="792"/>
      <c r="D24" s="792"/>
      <c r="E24" s="792"/>
      <c r="F24" s="792"/>
      <c r="G24" s="792"/>
      <c r="H24" s="793"/>
      <c r="I24" s="447">
        <f>IF((I14+I22)&gt;=2,"2,00",I14+I22)</f>
        <v>0</v>
      </c>
      <c r="J24" s="163">
        <f>IF((J14+J22)&gt;=2,"2,00",J14+J22)</f>
        <v>0</v>
      </c>
      <c r="K24" s="164">
        <f>IF((K14+K22)&gt;=1.25,"1,25",K14+K22)</f>
        <v>0</v>
      </c>
      <c r="L24" s="566"/>
      <c r="M24" s="446"/>
    </row>
    <row r="25" spans="1:13" x14ac:dyDescent="0.25">
      <c r="A25" s="509"/>
      <c r="B25" s="135"/>
      <c r="C25" s="136"/>
      <c r="D25" s="136"/>
      <c r="E25" s="135"/>
      <c r="F25" s="135"/>
      <c r="G25" s="135"/>
      <c r="H25" s="136"/>
      <c r="I25" s="136"/>
      <c r="J25" s="136"/>
      <c r="K25" s="136"/>
      <c r="L25" s="566"/>
    </row>
    <row r="26" spans="1:13" x14ac:dyDescent="0.25">
      <c r="A26" s="509"/>
      <c r="B26" s="135"/>
      <c r="C26" s="136"/>
      <c r="D26" s="136"/>
      <c r="E26" s="135"/>
      <c r="F26" s="135"/>
      <c r="G26" s="135"/>
      <c r="H26" s="135"/>
      <c r="I26" s="135"/>
      <c r="J26" s="136"/>
      <c r="K26" s="136"/>
      <c r="L26" s="566"/>
    </row>
    <row r="27" spans="1:13" x14ac:dyDescent="0.25">
      <c r="A27" s="509"/>
      <c r="B27" s="135"/>
      <c r="C27" s="136"/>
      <c r="D27" s="136"/>
      <c r="E27" s="135"/>
      <c r="F27" s="135"/>
      <c r="G27" s="135"/>
      <c r="H27" s="135"/>
      <c r="I27" s="135"/>
      <c r="J27" s="136"/>
      <c r="K27" s="136"/>
      <c r="L27" s="566"/>
    </row>
    <row r="28" spans="1:13" x14ac:dyDescent="0.25">
      <c r="A28" s="554"/>
      <c r="B28" s="567"/>
      <c r="C28" s="565"/>
      <c r="D28" s="565"/>
      <c r="E28" s="567"/>
      <c r="F28" s="567"/>
      <c r="G28" s="567"/>
      <c r="H28" s="567"/>
      <c r="I28" s="567"/>
      <c r="J28" s="565"/>
      <c r="K28" s="565"/>
      <c r="L28" s="568"/>
    </row>
    <row r="29" spans="1:13" x14ac:dyDescent="0.25">
      <c r="B29" s="137"/>
      <c r="C29" s="138"/>
      <c r="D29" s="138"/>
      <c r="E29" s="137"/>
      <c r="F29" s="137"/>
      <c r="G29" s="137"/>
      <c r="H29" s="137"/>
      <c r="I29" s="137"/>
      <c r="J29" s="138"/>
      <c r="K29" s="138"/>
      <c r="L29" s="134"/>
    </row>
  </sheetData>
  <sheetProtection sheet="1" formatRows="0" selectLockedCells="1"/>
  <protectedRanges>
    <protectedRange sqref="H19:H21" name="Range3"/>
    <protectedRange sqref="H16:H17" name="Range2"/>
    <protectedRange sqref="H6:H13" name="Range1"/>
  </protectedRanges>
  <mergeCells count="18">
    <mergeCell ref="B2:C2"/>
    <mergeCell ref="B3:C3"/>
    <mergeCell ref="I18:K18"/>
    <mergeCell ref="C16:C17"/>
    <mergeCell ref="C18:C21"/>
    <mergeCell ref="E18:H18"/>
    <mergeCell ref="B5:D5"/>
    <mergeCell ref="B6:B14"/>
    <mergeCell ref="C6:C8"/>
    <mergeCell ref="C9:C11"/>
    <mergeCell ref="C12:C13"/>
    <mergeCell ref="C14:H14"/>
    <mergeCell ref="B24:H24"/>
    <mergeCell ref="B16:B22"/>
    <mergeCell ref="B4:D4"/>
    <mergeCell ref="B23:K23"/>
    <mergeCell ref="B15:K15"/>
    <mergeCell ref="C22:H22"/>
  </mergeCells>
  <phoneticPr fontId="4" type="noConversion"/>
  <printOptions horizontalCentered="1" verticalCentered="1"/>
  <pageMargins left="0.78740157480314965" right="0.78740157480314965" top="1.1811023622047245" bottom="0.98425196850393704" header="0" footer="0"/>
  <pageSetup paperSize="9" scale="70" orientation="landscape"/>
  <headerFooter>
    <oddHeader>&amp;L&amp;"Times New Roman,Halvfet"&amp;16Microbial barrier analysis (MBA)
Operational tool&amp;C&amp;"Times New Roman,Halvfet"&amp;16&amp;A&amp;R&amp;"Times New Roman,Halvfet"&amp;16Page &amp;P og &amp;N
&amp;D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key!$A$2:$A$3</xm:f>
          </x14:formula1>
          <xm:sqref>H19:H21 H6:H13 H16:H17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1:N29"/>
  <sheetViews>
    <sheetView tabSelected="1" topLeftCell="C22" zoomScale="115" zoomScaleNormal="115" zoomScalePageLayoutView="115" workbookViewId="0">
      <selection activeCell="H23" sqref="H23"/>
    </sheetView>
  </sheetViews>
  <sheetFormatPr baseColWidth="10" defaultColWidth="10.7109375" defaultRowHeight="15" x14ac:dyDescent="0.25"/>
  <cols>
    <col min="1" max="1" width="2.42578125" style="285" customWidth="1"/>
    <col min="2" max="2" width="21.7109375" style="285" customWidth="1"/>
    <col min="3" max="3" width="19" style="285" customWidth="1"/>
    <col min="4" max="4" width="102.140625" style="285" customWidth="1"/>
    <col min="5" max="7" width="10.7109375" style="288" customWidth="1"/>
    <col min="8" max="8" width="12.7109375" style="289" customWidth="1"/>
    <col min="9" max="11" width="10.7109375" style="285"/>
    <col min="12" max="12" width="10.7109375" style="284"/>
    <col min="13" max="16384" width="10.7109375" style="285"/>
  </cols>
  <sheetData>
    <row r="1" spans="1:13" ht="15.75" thickBot="1" x14ac:dyDescent="0.3">
      <c r="A1" s="544"/>
      <c r="B1" s="545"/>
      <c r="C1" s="545"/>
      <c r="D1" s="545"/>
      <c r="E1" s="545"/>
      <c r="F1" s="545"/>
      <c r="G1" s="545"/>
      <c r="H1" s="545"/>
      <c r="I1" s="545"/>
      <c r="J1" s="545"/>
      <c r="K1" s="545"/>
      <c r="L1" s="559"/>
    </row>
    <row r="2" spans="1:13" ht="30.75" customHeight="1" x14ac:dyDescent="0.25">
      <c r="A2" s="569"/>
      <c r="B2" s="799" t="str">
        <f>'Lakes and catchment areas'!B2</f>
        <v>Owner of water treatment plant:</v>
      </c>
      <c r="C2" s="800"/>
      <c r="D2" s="520" t="str">
        <f>'Lakes and catchment areas'!D2</f>
        <v>BB</v>
      </c>
      <c r="E2" s="498"/>
      <c r="F2" s="498"/>
      <c r="G2" s="498"/>
      <c r="H2" s="498"/>
      <c r="I2" s="202"/>
      <c r="J2" s="202"/>
      <c r="K2" s="202"/>
      <c r="L2" s="570"/>
    </row>
    <row r="3" spans="1:13" ht="34.5" customHeight="1" thickBot="1" x14ac:dyDescent="0.3">
      <c r="A3" s="569"/>
      <c r="B3" s="801" t="str">
        <f>'Lakes and catchment areas'!B3</f>
        <v>Name of the water treatment plant:</v>
      </c>
      <c r="C3" s="802"/>
      <c r="D3" s="521" t="str">
        <f>'Lakes and catchment areas'!D3</f>
        <v>VV</v>
      </c>
      <c r="E3" s="498"/>
      <c r="F3" s="498"/>
      <c r="G3" s="498"/>
      <c r="H3" s="498"/>
      <c r="I3" s="202"/>
      <c r="J3" s="202"/>
      <c r="K3" s="202"/>
      <c r="L3" s="570"/>
    </row>
    <row r="4" spans="1:13" ht="20.25" customHeight="1" thickBot="1" x14ac:dyDescent="0.3">
      <c r="A4" s="569"/>
      <c r="B4" s="796"/>
      <c r="C4" s="796"/>
      <c r="D4" s="796"/>
      <c r="E4" s="498"/>
      <c r="F4" s="498"/>
      <c r="G4" s="498"/>
      <c r="H4" s="498"/>
      <c r="I4" s="202"/>
      <c r="J4" s="202"/>
      <c r="K4" s="202"/>
      <c r="L4" s="570"/>
    </row>
    <row r="5" spans="1:13" s="286" customFormat="1" ht="34.5" customHeight="1" thickBot="1" x14ac:dyDescent="0.3">
      <c r="A5" s="571"/>
      <c r="B5" s="812" t="s">
        <v>147</v>
      </c>
      <c r="C5" s="813"/>
      <c r="D5" s="813"/>
      <c r="E5" s="146" t="s">
        <v>120</v>
      </c>
      <c r="F5" s="147" t="s">
        <v>121</v>
      </c>
      <c r="G5" s="148" t="s">
        <v>122</v>
      </c>
      <c r="H5" s="372" t="s">
        <v>128</v>
      </c>
      <c r="I5" s="149" t="s">
        <v>120</v>
      </c>
      <c r="J5" s="147" t="s">
        <v>121</v>
      </c>
      <c r="K5" s="148" t="s">
        <v>122</v>
      </c>
      <c r="L5" s="572"/>
      <c r="M5" s="517"/>
    </row>
    <row r="6" spans="1:13" ht="40.5" customHeight="1" thickBot="1" x14ac:dyDescent="0.3">
      <c r="A6" s="569"/>
      <c r="B6" s="826" t="s">
        <v>146</v>
      </c>
      <c r="C6" s="313" t="s">
        <v>148</v>
      </c>
      <c r="D6" s="314" t="s">
        <v>152</v>
      </c>
      <c r="E6" s="315">
        <v>0.25</v>
      </c>
      <c r="F6" s="316">
        <v>0.25</v>
      </c>
      <c r="G6" s="317">
        <v>0.25</v>
      </c>
      <c r="H6" s="364" t="s">
        <v>130</v>
      </c>
      <c r="I6" s="318">
        <f>IF($H$6="no",0,$E$6)</f>
        <v>0</v>
      </c>
      <c r="J6" s="319">
        <f>IF($H$6="no",0,$F$6)</f>
        <v>0</v>
      </c>
      <c r="K6" s="320">
        <f>IF($H$6="no",0,$G$6)</f>
        <v>0</v>
      </c>
      <c r="L6" s="570"/>
    </row>
    <row r="7" spans="1:13" ht="40.5" customHeight="1" x14ac:dyDescent="0.25">
      <c r="A7" s="569"/>
      <c r="B7" s="827"/>
      <c r="C7" s="829" t="s">
        <v>150</v>
      </c>
      <c r="D7" s="496" t="s">
        <v>154</v>
      </c>
      <c r="E7" s="151">
        <v>0.75</v>
      </c>
      <c r="F7" s="152">
        <v>0.75</v>
      </c>
      <c r="G7" s="153">
        <v>0.5</v>
      </c>
      <c r="H7" s="358" t="s">
        <v>130</v>
      </c>
      <c r="I7" s="321">
        <f>IF($H$7="no",0,$E$7)</f>
        <v>0</v>
      </c>
      <c r="J7" s="322">
        <f>IF($H$7="no",0,$F$7)</f>
        <v>0</v>
      </c>
      <c r="K7" s="323">
        <f>IF($H$7="no",0,$G$7)</f>
        <v>0</v>
      </c>
      <c r="L7" s="570"/>
    </row>
    <row r="8" spans="1:13" ht="40.5" customHeight="1" x14ac:dyDescent="0.25">
      <c r="A8" s="569"/>
      <c r="B8" s="827"/>
      <c r="C8" s="830"/>
      <c r="D8" s="324" t="s">
        <v>349</v>
      </c>
      <c r="E8" s="155">
        <v>0.5</v>
      </c>
      <c r="F8" s="156">
        <v>0.5</v>
      </c>
      <c r="G8" s="157">
        <v>0.25</v>
      </c>
      <c r="H8" s="359" t="s">
        <v>130</v>
      </c>
      <c r="I8" s="161">
        <f>IF($H$8="no",0,$E$8)</f>
        <v>0</v>
      </c>
      <c r="J8" s="159">
        <f>IF($H$8="no",0,$F$8)</f>
        <v>0</v>
      </c>
      <c r="K8" s="160">
        <f>IF($H$8="no",0,$G$8)</f>
        <v>0</v>
      </c>
      <c r="L8" s="570"/>
    </row>
    <row r="9" spans="1:13" ht="35.25" customHeight="1" thickBot="1" x14ac:dyDescent="0.3">
      <c r="A9" s="569"/>
      <c r="B9" s="827"/>
      <c r="C9" s="831"/>
      <c r="D9" s="325" t="s">
        <v>155</v>
      </c>
      <c r="E9" s="326">
        <v>0.25</v>
      </c>
      <c r="F9" s="327">
        <v>0.25</v>
      </c>
      <c r="G9" s="328">
        <v>0.15</v>
      </c>
      <c r="H9" s="365" t="s">
        <v>130</v>
      </c>
      <c r="I9" s="329">
        <f>IF($H$9="no",0,$E$9)</f>
        <v>0</v>
      </c>
      <c r="J9" s="330">
        <f>IF($H$9="no",0,$F$9)</f>
        <v>0</v>
      </c>
      <c r="K9" s="331">
        <f>IF($H$9="no",0,$G$9)</f>
        <v>0</v>
      </c>
      <c r="L9" s="570"/>
    </row>
    <row r="10" spans="1:13" ht="33.75" customHeight="1" x14ac:dyDescent="0.25">
      <c r="A10" s="569"/>
      <c r="B10" s="827"/>
      <c r="C10" s="829" t="s">
        <v>149</v>
      </c>
      <c r="D10" s="496" t="s">
        <v>156</v>
      </c>
      <c r="E10" s="151">
        <v>0.5</v>
      </c>
      <c r="F10" s="152">
        <v>0.5</v>
      </c>
      <c r="G10" s="153">
        <v>0.25</v>
      </c>
      <c r="H10" s="358" t="s">
        <v>130</v>
      </c>
      <c r="I10" s="321">
        <f>IF($H$10="no",0,$E$10)</f>
        <v>0</v>
      </c>
      <c r="J10" s="322">
        <f>IF($H$10="no",0,$F$10)</f>
        <v>0</v>
      </c>
      <c r="K10" s="323">
        <f>IF($H$10="no",0,$G$10)</f>
        <v>0</v>
      </c>
      <c r="L10" s="570"/>
    </row>
    <row r="11" spans="1:13" ht="34.5" customHeight="1" x14ac:dyDescent="0.25">
      <c r="A11" s="569"/>
      <c r="B11" s="827"/>
      <c r="C11" s="830"/>
      <c r="D11" s="324" t="s">
        <v>157</v>
      </c>
      <c r="E11" s="155">
        <v>0.25</v>
      </c>
      <c r="F11" s="156">
        <v>0.25</v>
      </c>
      <c r="G11" s="157">
        <v>0.15</v>
      </c>
      <c r="H11" s="359" t="s">
        <v>130</v>
      </c>
      <c r="I11" s="161">
        <f>IF($H$11="no",0,$E$11)</f>
        <v>0</v>
      </c>
      <c r="J11" s="159">
        <f>IF($H$11="no",0,$F$11)</f>
        <v>0</v>
      </c>
      <c r="K11" s="160">
        <f>IF($H$11="no",0,$G$11)</f>
        <v>0</v>
      </c>
      <c r="L11" s="570"/>
    </row>
    <row r="12" spans="1:13" ht="49.5" customHeight="1" thickBot="1" x14ac:dyDescent="0.3">
      <c r="A12" s="569"/>
      <c r="B12" s="827"/>
      <c r="C12" s="831"/>
      <c r="D12" s="325" t="s">
        <v>155</v>
      </c>
      <c r="E12" s="326">
        <v>0.25</v>
      </c>
      <c r="F12" s="327">
        <v>0.25</v>
      </c>
      <c r="G12" s="328">
        <v>0.15</v>
      </c>
      <c r="H12" s="365" t="s">
        <v>130</v>
      </c>
      <c r="I12" s="329">
        <f>IF($H$12="no",0,$E$12)</f>
        <v>0</v>
      </c>
      <c r="J12" s="330">
        <f>IF($H$12="no",0,$F$12)</f>
        <v>0</v>
      </c>
      <c r="K12" s="331">
        <f>IF($H$12="no",0,$G$12)</f>
        <v>0</v>
      </c>
      <c r="L12" s="570"/>
    </row>
    <row r="13" spans="1:13" ht="27.75" customHeight="1" x14ac:dyDescent="0.25">
      <c r="A13" s="569"/>
      <c r="B13" s="827"/>
      <c r="C13" s="829" t="s">
        <v>151</v>
      </c>
      <c r="D13" s="496" t="s">
        <v>350</v>
      </c>
      <c r="E13" s="151">
        <v>0.5</v>
      </c>
      <c r="F13" s="152">
        <v>0.5</v>
      </c>
      <c r="G13" s="153">
        <v>0.25</v>
      </c>
      <c r="H13" s="358" t="s">
        <v>130</v>
      </c>
      <c r="I13" s="321">
        <f>IF($H$13="no",0,E13)</f>
        <v>0</v>
      </c>
      <c r="J13" s="322">
        <f>IF($H$13="no",0,F13)</f>
        <v>0</v>
      </c>
      <c r="K13" s="323">
        <f>IF($H$13="no",0,G13)</f>
        <v>0</v>
      </c>
      <c r="L13" s="570"/>
    </row>
    <row r="14" spans="1:13" ht="27" customHeight="1" x14ac:dyDescent="0.25">
      <c r="A14" s="569"/>
      <c r="B14" s="827"/>
      <c r="C14" s="830"/>
      <c r="D14" s="332" t="s">
        <v>452</v>
      </c>
      <c r="E14" s="333">
        <v>0.25</v>
      </c>
      <c r="F14" s="334">
        <v>0.25</v>
      </c>
      <c r="G14" s="335">
        <v>0.15</v>
      </c>
      <c r="H14" s="366" t="s">
        <v>130</v>
      </c>
      <c r="I14" s="161">
        <f>IF($H$14="no",0,E14)</f>
        <v>0</v>
      </c>
      <c r="J14" s="159">
        <f>IF($H$14="no",0,F14)</f>
        <v>0</v>
      </c>
      <c r="K14" s="160">
        <f>IF($H$14="no",0,G14)</f>
        <v>0</v>
      </c>
      <c r="L14" s="570"/>
    </row>
    <row r="15" spans="1:13" ht="25.5" customHeight="1" thickBot="1" x14ac:dyDescent="0.3">
      <c r="A15" s="569"/>
      <c r="B15" s="827"/>
      <c r="C15" s="831"/>
      <c r="D15" s="325" t="s">
        <v>158</v>
      </c>
      <c r="E15" s="326">
        <v>0.25</v>
      </c>
      <c r="F15" s="327">
        <v>0.25</v>
      </c>
      <c r="G15" s="328">
        <v>0.15</v>
      </c>
      <c r="H15" s="365" t="s">
        <v>130</v>
      </c>
      <c r="I15" s="329">
        <f>IF($H$15="no",0,E15)</f>
        <v>0</v>
      </c>
      <c r="J15" s="330">
        <f>IF($H$15="no",0,F15)</f>
        <v>0</v>
      </c>
      <c r="K15" s="331">
        <f>IF($H$15="no",0,G15)</f>
        <v>0</v>
      </c>
      <c r="L15" s="570"/>
    </row>
    <row r="16" spans="1:13" s="287" customFormat="1" ht="54" customHeight="1" thickBot="1" x14ac:dyDescent="0.3">
      <c r="A16" s="569"/>
      <c r="B16" s="828"/>
      <c r="C16" s="791" t="s">
        <v>153</v>
      </c>
      <c r="D16" s="792"/>
      <c r="E16" s="792"/>
      <c r="F16" s="792"/>
      <c r="G16" s="792"/>
      <c r="H16" s="793"/>
      <c r="I16" s="162">
        <f>IF(SUM(I6:I15)&gt;2,2,SUM(I6:I15))</f>
        <v>0</v>
      </c>
      <c r="J16" s="163">
        <f>IF(SUM(J6:J15)&gt;2,2,SUM(J6:J15))</f>
        <v>0</v>
      </c>
      <c r="K16" s="164">
        <f>IF(SUM(K6:K15)&gt;1.25,1.25,SUM(K6:K15))</f>
        <v>0</v>
      </c>
      <c r="L16" s="570"/>
    </row>
    <row r="17" spans="1:14" s="287" customFormat="1" ht="18" customHeight="1" thickBot="1" x14ac:dyDescent="0.3">
      <c r="A17" s="569"/>
      <c r="B17" s="825"/>
      <c r="C17" s="825"/>
      <c r="D17" s="825"/>
      <c r="E17" s="825"/>
      <c r="F17" s="825"/>
      <c r="G17" s="825"/>
      <c r="H17" s="825"/>
      <c r="I17" s="825"/>
      <c r="J17" s="825"/>
      <c r="K17" s="825"/>
      <c r="L17" s="570"/>
    </row>
    <row r="18" spans="1:14" ht="34.5" customHeight="1" x14ac:dyDescent="0.25">
      <c r="A18" s="569"/>
      <c r="B18" s="794" t="s">
        <v>140</v>
      </c>
      <c r="C18" s="806" t="s">
        <v>137</v>
      </c>
      <c r="D18" s="645" t="s">
        <v>142</v>
      </c>
      <c r="E18" s="165">
        <v>0.5</v>
      </c>
      <c r="F18" s="166">
        <v>0.5</v>
      </c>
      <c r="G18" s="167">
        <v>0.25</v>
      </c>
      <c r="H18" s="367" t="s">
        <v>130</v>
      </c>
      <c r="I18" s="158">
        <f>IF(H18="no",0,$E$18)</f>
        <v>0</v>
      </c>
      <c r="J18" s="168">
        <f>IF(H18="no",0,$F$18)</f>
        <v>0</v>
      </c>
      <c r="K18" s="169">
        <f>IF(H18="no",0,$G$18)</f>
        <v>0</v>
      </c>
      <c r="L18" s="570"/>
    </row>
    <row r="19" spans="1:14" ht="34.5" customHeight="1" x14ac:dyDescent="0.25">
      <c r="A19" s="569"/>
      <c r="B19" s="794"/>
      <c r="C19" s="807"/>
      <c r="D19" s="645" t="s">
        <v>143</v>
      </c>
      <c r="E19" s="155">
        <v>0.25</v>
      </c>
      <c r="F19" s="156">
        <v>0.25</v>
      </c>
      <c r="G19" s="157">
        <v>0.15</v>
      </c>
      <c r="H19" s="368" t="s">
        <v>130</v>
      </c>
      <c r="I19" s="161">
        <f>IF(H19="no",0,$E$19)</f>
        <v>0</v>
      </c>
      <c r="J19" s="159">
        <f>IF(H19="no",0,$F$19)</f>
        <v>0</v>
      </c>
      <c r="K19" s="160">
        <f>IF(H19="no",0,$G$19)</f>
        <v>0</v>
      </c>
      <c r="L19" s="570"/>
    </row>
    <row r="20" spans="1:14" ht="39" customHeight="1" x14ac:dyDescent="0.25">
      <c r="A20" s="569"/>
      <c r="B20" s="794"/>
      <c r="C20" s="807" t="s">
        <v>138</v>
      </c>
      <c r="D20" s="170" t="s">
        <v>144</v>
      </c>
      <c r="E20" s="809"/>
      <c r="F20" s="810"/>
      <c r="G20" s="810"/>
      <c r="H20" s="810"/>
      <c r="I20" s="803"/>
      <c r="J20" s="804"/>
      <c r="K20" s="805"/>
      <c r="L20" s="570"/>
    </row>
    <row r="21" spans="1:14" ht="22.5" customHeight="1" x14ac:dyDescent="0.25">
      <c r="A21" s="569"/>
      <c r="B21" s="794"/>
      <c r="C21" s="807"/>
      <c r="D21" s="200" t="s">
        <v>145</v>
      </c>
      <c r="E21" s="155">
        <v>0.5</v>
      </c>
      <c r="F21" s="156">
        <v>0.5</v>
      </c>
      <c r="G21" s="157">
        <v>0.25</v>
      </c>
      <c r="H21" s="368" t="s">
        <v>130</v>
      </c>
      <c r="I21" s="161">
        <f>IF($H$21="no",0,E21)</f>
        <v>0</v>
      </c>
      <c r="J21" s="159">
        <f>IF($H$21="no",0,F21)</f>
        <v>0</v>
      </c>
      <c r="K21" s="160">
        <f>IF($H$21="no",0,G21)</f>
        <v>0</v>
      </c>
      <c r="L21" s="570"/>
    </row>
    <row r="22" spans="1:14" ht="23.25" customHeight="1" x14ac:dyDescent="0.25">
      <c r="A22" s="569"/>
      <c r="B22" s="794"/>
      <c r="C22" s="807"/>
      <c r="D22" s="200" t="s">
        <v>347</v>
      </c>
      <c r="E22" s="155">
        <v>0.25</v>
      </c>
      <c r="F22" s="156">
        <v>0.25</v>
      </c>
      <c r="G22" s="157">
        <v>0.15</v>
      </c>
      <c r="H22" s="368" t="s">
        <v>130</v>
      </c>
      <c r="I22" s="161">
        <f>IF($H$22="no",0,E22)</f>
        <v>0</v>
      </c>
      <c r="J22" s="159">
        <f>IF($H$22="no",0,F22)</f>
        <v>0</v>
      </c>
      <c r="K22" s="160">
        <f>IF($H$22="no",0,G22)</f>
        <v>0</v>
      </c>
      <c r="L22" s="570"/>
      <c r="M22" s="284"/>
      <c r="N22" s="284"/>
    </row>
    <row r="23" spans="1:14" ht="21.75" customHeight="1" thickBot="1" x14ac:dyDescent="0.3">
      <c r="A23" s="569"/>
      <c r="B23" s="794"/>
      <c r="C23" s="808"/>
      <c r="D23" s="201" t="s">
        <v>348</v>
      </c>
      <c r="E23" s="155">
        <v>0.25</v>
      </c>
      <c r="F23" s="156">
        <v>0.25</v>
      </c>
      <c r="G23" s="157">
        <v>0.15</v>
      </c>
      <c r="H23" s="368" t="s">
        <v>130</v>
      </c>
      <c r="I23" s="161">
        <f>IF($H$23="no",0,E23)</f>
        <v>0</v>
      </c>
      <c r="J23" s="159">
        <f>IF($H$23="no",0,F23)</f>
        <v>0</v>
      </c>
      <c r="K23" s="160">
        <f>IF($H$23="no",0,G23)</f>
        <v>0</v>
      </c>
      <c r="L23" s="570"/>
      <c r="M23" s="284"/>
      <c r="N23" s="284"/>
    </row>
    <row r="24" spans="1:14" ht="37.5" customHeight="1" thickBot="1" x14ac:dyDescent="0.3">
      <c r="A24" s="569"/>
      <c r="B24" s="795"/>
      <c r="C24" s="791" t="s">
        <v>351</v>
      </c>
      <c r="D24" s="792"/>
      <c r="E24" s="792"/>
      <c r="F24" s="792"/>
      <c r="G24" s="792"/>
      <c r="H24" s="793"/>
      <c r="I24" s="162">
        <f>IF(SUM(I18:I23)&gt;=0.75,"0,75",SUM(I18:I23))</f>
        <v>0</v>
      </c>
      <c r="J24" s="163">
        <f>IF(SUM(J18:J23)&gt;=0.75,"0,75",SUM(J18:J23))</f>
        <v>0</v>
      </c>
      <c r="K24" s="164">
        <f>IF(SUM(K18:K23)&gt;=0.5,"0,50",SUM(K18:K23))</f>
        <v>0</v>
      </c>
      <c r="L24" s="570"/>
      <c r="M24" s="284"/>
      <c r="N24" s="284"/>
    </row>
    <row r="25" spans="1:14" ht="18.75" customHeight="1" thickBot="1" x14ac:dyDescent="0.3">
      <c r="A25" s="569"/>
      <c r="B25" s="797"/>
      <c r="C25" s="797"/>
      <c r="D25" s="797"/>
      <c r="E25" s="797"/>
      <c r="F25" s="797"/>
      <c r="G25" s="797"/>
      <c r="H25" s="797"/>
      <c r="I25" s="797"/>
      <c r="J25" s="797"/>
      <c r="K25" s="797"/>
      <c r="L25" s="570"/>
      <c r="M25" s="284"/>
      <c r="N25" s="284"/>
    </row>
    <row r="26" spans="1:14" ht="55.5" customHeight="1" thickBot="1" x14ac:dyDescent="0.3">
      <c r="A26" s="569"/>
      <c r="B26" s="822" t="s">
        <v>352</v>
      </c>
      <c r="C26" s="823"/>
      <c r="D26" s="823"/>
      <c r="E26" s="823"/>
      <c r="F26" s="823"/>
      <c r="G26" s="823"/>
      <c r="H26" s="824"/>
      <c r="I26" s="312">
        <f>IF((I16+I24)&gt;=2,"2,00",I16+I24)</f>
        <v>0</v>
      </c>
      <c r="J26" s="343">
        <f>IF((J16+J24)&gt;=2,"2,00",J16+J24)</f>
        <v>0</v>
      </c>
      <c r="K26" s="344">
        <f>IF((K16+K24)&gt;=1.25,"1,5",K16+K24)</f>
        <v>0</v>
      </c>
      <c r="L26" s="570"/>
      <c r="M26" s="284"/>
      <c r="N26" s="284"/>
    </row>
    <row r="27" spans="1:14" x14ac:dyDescent="0.25">
      <c r="A27" s="569"/>
      <c r="B27" s="573"/>
      <c r="C27" s="573"/>
      <c r="D27" s="573"/>
      <c r="E27" s="574"/>
      <c r="F27" s="574"/>
      <c r="G27" s="574"/>
      <c r="H27" s="575"/>
      <c r="I27" s="573"/>
      <c r="J27" s="573"/>
      <c r="K27" s="573"/>
      <c r="L27" s="570"/>
    </row>
    <row r="28" spans="1:14" x14ac:dyDescent="0.25">
      <c r="A28" s="569"/>
      <c r="B28" s="573"/>
      <c r="C28" s="573"/>
      <c r="D28" s="573"/>
      <c r="E28" s="574"/>
      <c r="F28" s="574"/>
      <c r="G28" s="574"/>
      <c r="H28" s="575"/>
      <c r="I28" s="573"/>
      <c r="J28" s="573"/>
      <c r="K28" s="573"/>
      <c r="L28" s="570"/>
    </row>
    <row r="29" spans="1:14" x14ac:dyDescent="0.25">
      <c r="A29" s="576"/>
      <c r="B29" s="577"/>
      <c r="C29" s="577"/>
      <c r="D29" s="577"/>
      <c r="E29" s="578"/>
      <c r="F29" s="578"/>
      <c r="G29" s="578"/>
      <c r="H29" s="579"/>
      <c r="I29" s="577"/>
      <c r="J29" s="577"/>
      <c r="K29" s="577"/>
      <c r="L29" s="580"/>
    </row>
  </sheetData>
  <sheetProtection sheet="1" selectLockedCells="1"/>
  <protectedRanges>
    <protectedRange sqref="H21:H23" name="Range3"/>
    <protectedRange sqref="H18:H19" name="Range2"/>
    <protectedRange sqref="H6:H15" name="Range1"/>
  </protectedRanges>
  <mergeCells count="18">
    <mergeCell ref="B2:C2"/>
    <mergeCell ref="B3:C3"/>
    <mergeCell ref="B18:B24"/>
    <mergeCell ref="C18:C19"/>
    <mergeCell ref="C20:C23"/>
    <mergeCell ref="C16:H16"/>
    <mergeCell ref="E20:H20"/>
    <mergeCell ref="C24:H24"/>
    <mergeCell ref="B26:H26"/>
    <mergeCell ref="B4:D4"/>
    <mergeCell ref="B5:D5"/>
    <mergeCell ref="B25:K25"/>
    <mergeCell ref="B17:K17"/>
    <mergeCell ref="I20:K20"/>
    <mergeCell ref="B6:B16"/>
    <mergeCell ref="C7:C9"/>
    <mergeCell ref="C10:C12"/>
    <mergeCell ref="C13:C15"/>
  </mergeCells>
  <phoneticPr fontId="4" type="noConversion"/>
  <pageMargins left="0.78740157480314965" right="0.78740157480314965" top="1.1811023622047245" bottom="0.98425196850393704" header="0" footer="0"/>
  <pageSetup paperSize="9" scale="68" orientation="landscape" r:id="rId1"/>
  <headerFooter>
    <oddHeader>&amp;L&amp;"Times New Roman,Halvfet"&amp;16Microbial barrier analysis (MBA)
Operational tool&amp;C&amp;"Times New Roman,Halvfet"&amp;16&amp;A&amp;R&amp;"Times New Roman,Halvfet"&amp;16Page &amp;P of &amp;N
&amp;D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key!$A$2:$A$3</xm:f>
          </x14:formula1>
          <xm:sqref>H21:H23 H18:H19 H6:H15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B13" sqref="B13:I13"/>
    </sheetView>
  </sheetViews>
  <sheetFormatPr baseColWidth="10" defaultColWidth="8.85546875" defaultRowHeight="15" x14ac:dyDescent="0.25"/>
  <cols>
    <col min="2" max="2" width="21.42578125" customWidth="1"/>
    <col min="3" max="3" width="20.7109375" customWidth="1"/>
    <col min="4" max="4" width="35.42578125" customWidth="1"/>
    <col min="5" max="5" width="18.7109375" customWidth="1"/>
    <col min="6" max="6" width="12.28515625" customWidth="1"/>
    <col min="7" max="7" width="12.140625" customWidth="1"/>
    <col min="8" max="8" width="12" customWidth="1"/>
    <col min="9" max="9" width="12.7109375" customWidth="1"/>
    <col min="10" max="10" width="11.85546875" customWidth="1"/>
    <col min="11" max="11" width="12.42578125" customWidth="1"/>
    <col min="12" max="12" width="13.7109375" customWidth="1"/>
  </cols>
  <sheetData>
    <row r="1" spans="1:18" s="285" customFormat="1" ht="15.75" thickBot="1" x14ac:dyDescent="0.3">
      <c r="A1" s="544"/>
      <c r="B1" s="545"/>
      <c r="C1" s="545"/>
      <c r="D1" s="545"/>
      <c r="E1" s="545"/>
      <c r="F1" s="545"/>
      <c r="G1" s="545"/>
      <c r="H1" s="545"/>
      <c r="I1" s="545"/>
      <c r="J1" s="545"/>
      <c r="K1" s="545"/>
      <c r="L1" s="545"/>
      <c r="M1" s="559"/>
      <c r="N1" s="69"/>
      <c r="O1" s="69"/>
    </row>
    <row r="2" spans="1:18" s="285" customFormat="1" ht="30.75" customHeight="1" x14ac:dyDescent="0.25">
      <c r="A2" s="569"/>
      <c r="B2" s="835" t="str">
        <f>'Lakes and catchment areas'!B2</f>
        <v>Owner of water treatment plant:</v>
      </c>
      <c r="C2" s="744"/>
      <c r="D2" s="847" t="str">
        <f>'Lakes and catchment areas'!D2</f>
        <v>BB</v>
      </c>
      <c r="E2" s="848"/>
      <c r="F2" s="498"/>
      <c r="G2" s="498"/>
      <c r="H2" s="498"/>
      <c r="I2" s="498"/>
      <c r="J2" s="202"/>
      <c r="K2" s="202"/>
      <c r="L2" s="202"/>
      <c r="M2" s="570"/>
      <c r="N2" s="284"/>
      <c r="O2" s="284"/>
    </row>
    <row r="3" spans="1:18" s="285" customFormat="1" ht="34.5" customHeight="1" thickBot="1" x14ac:dyDescent="0.3">
      <c r="A3" s="569"/>
      <c r="B3" s="836" t="str">
        <f>'Lakes and catchment areas'!B3</f>
        <v>Name of the water treatment plant:</v>
      </c>
      <c r="C3" s="837"/>
      <c r="D3" s="849" t="str">
        <f>'Lakes and catchment areas'!D3</f>
        <v>VV</v>
      </c>
      <c r="E3" s="850"/>
      <c r="F3" s="498"/>
      <c r="G3" s="498"/>
      <c r="H3" s="498"/>
      <c r="I3" s="498"/>
      <c r="J3" s="202"/>
      <c r="K3" s="202"/>
      <c r="L3" s="202"/>
      <c r="M3" s="570"/>
      <c r="N3" s="284"/>
      <c r="O3" s="284"/>
    </row>
    <row r="4" spans="1:18" x14ac:dyDescent="0.25">
      <c r="A4" s="581"/>
      <c r="B4" s="582"/>
      <c r="C4" s="582"/>
      <c r="D4" s="582"/>
      <c r="E4" s="582"/>
      <c r="F4" s="582"/>
      <c r="G4" s="582"/>
      <c r="H4" s="582"/>
      <c r="I4" s="582"/>
      <c r="J4" s="582"/>
      <c r="K4" s="582"/>
      <c r="L4" s="582"/>
      <c r="M4" s="583"/>
    </row>
    <row r="5" spans="1:18" ht="48" customHeight="1" x14ac:dyDescent="0.25">
      <c r="A5" s="581"/>
      <c r="B5" s="851" t="s">
        <v>354</v>
      </c>
      <c r="C5" s="851"/>
      <c r="D5" s="851"/>
      <c r="E5" s="851"/>
      <c r="F5" s="851"/>
      <c r="G5" s="851"/>
      <c r="H5" s="851"/>
      <c r="I5" s="851"/>
      <c r="J5" s="851"/>
      <c r="K5" s="851"/>
      <c r="L5" s="851"/>
      <c r="M5" s="583"/>
      <c r="R5" s="675"/>
    </row>
    <row r="6" spans="1:18" ht="15.75" thickBot="1" x14ac:dyDescent="0.3">
      <c r="A6" s="581"/>
      <c r="B6" s="582"/>
      <c r="C6" s="582"/>
      <c r="D6" s="582"/>
      <c r="E6" s="582"/>
      <c r="F6" s="582"/>
      <c r="G6" s="582"/>
      <c r="H6" s="582"/>
      <c r="I6" s="582"/>
      <c r="J6" s="582"/>
      <c r="K6" s="582"/>
      <c r="L6" s="582"/>
      <c r="M6" s="583"/>
    </row>
    <row r="7" spans="1:18" ht="71.25" customHeight="1" thickBot="1" x14ac:dyDescent="0.3">
      <c r="A7" s="509"/>
      <c r="B7" s="752" t="s">
        <v>353</v>
      </c>
      <c r="C7" s="753"/>
      <c r="D7" s="753"/>
      <c r="E7" s="754"/>
      <c r="F7" s="212" t="s">
        <v>120</v>
      </c>
      <c r="G7" s="676" t="s">
        <v>121</v>
      </c>
      <c r="H7" s="677" t="s">
        <v>122</v>
      </c>
      <c r="I7" s="668" t="s">
        <v>128</v>
      </c>
      <c r="J7" s="212" t="s">
        <v>120</v>
      </c>
      <c r="K7" s="676" t="s">
        <v>121</v>
      </c>
      <c r="L7" s="677" t="s">
        <v>122</v>
      </c>
      <c r="M7" s="547"/>
    </row>
    <row r="8" spans="1:18" ht="30" customHeight="1" x14ac:dyDescent="0.25">
      <c r="A8" s="509"/>
      <c r="B8" s="838" t="s">
        <v>355</v>
      </c>
      <c r="C8" s="839"/>
      <c r="D8" s="840"/>
      <c r="E8" s="522" t="s">
        <v>312</v>
      </c>
      <c r="F8" s="523">
        <v>3</v>
      </c>
      <c r="G8" s="524">
        <v>2.5</v>
      </c>
      <c r="H8" s="525">
        <v>3</v>
      </c>
      <c r="I8" s="678" t="s">
        <v>130</v>
      </c>
      <c r="J8" s="523">
        <f>IF($I$8="no",0,F8)</f>
        <v>0</v>
      </c>
      <c r="K8" s="524">
        <f>IF($I$8="no",0,G8)</f>
        <v>0</v>
      </c>
      <c r="L8" s="526">
        <f>IF($I$8="no",0,H8)</f>
        <v>0</v>
      </c>
      <c r="M8" s="547"/>
    </row>
    <row r="9" spans="1:18" ht="30" customHeight="1" x14ac:dyDescent="0.25">
      <c r="A9" s="509"/>
      <c r="B9" s="841"/>
      <c r="C9" s="842"/>
      <c r="D9" s="843"/>
      <c r="E9" s="527" t="s">
        <v>313</v>
      </c>
      <c r="F9" s="528">
        <v>2.5</v>
      </c>
      <c r="G9" s="529">
        <v>2</v>
      </c>
      <c r="H9" s="530">
        <v>2.5</v>
      </c>
      <c r="I9" s="679" t="s">
        <v>130</v>
      </c>
      <c r="J9" s="528">
        <f>IF($I$9="no",0,F9)</f>
        <v>0</v>
      </c>
      <c r="K9" s="529">
        <f>IF($I$9="no",0,G9)</f>
        <v>0</v>
      </c>
      <c r="L9" s="531">
        <f>IF($I$9="no",0,H9)</f>
        <v>0</v>
      </c>
      <c r="M9" s="547"/>
    </row>
    <row r="10" spans="1:18" ht="30" customHeight="1" x14ac:dyDescent="0.25">
      <c r="A10" s="509"/>
      <c r="B10" s="841"/>
      <c r="C10" s="842"/>
      <c r="D10" s="843"/>
      <c r="E10" s="527" t="s">
        <v>314</v>
      </c>
      <c r="F10" s="528">
        <v>2</v>
      </c>
      <c r="G10" s="529">
        <v>1.5</v>
      </c>
      <c r="H10" s="530">
        <v>2</v>
      </c>
      <c r="I10" s="680" t="s">
        <v>130</v>
      </c>
      <c r="J10" s="528">
        <f>IF(I10="no",0,F10)</f>
        <v>0</v>
      </c>
      <c r="K10" s="529">
        <f>IF(I10="no",0,G10)</f>
        <v>0</v>
      </c>
      <c r="L10" s="531">
        <f>IF(I10="no",0,H10)</f>
        <v>0</v>
      </c>
      <c r="M10" s="547"/>
    </row>
    <row r="11" spans="1:18" ht="30" customHeight="1" thickBot="1" x14ac:dyDescent="0.3">
      <c r="A11" s="509"/>
      <c r="B11" s="844"/>
      <c r="C11" s="845"/>
      <c r="D11" s="846"/>
      <c r="E11" s="532" t="s">
        <v>315</v>
      </c>
      <c r="F11" s="533">
        <v>1.5</v>
      </c>
      <c r="G11" s="534">
        <v>1</v>
      </c>
      <c r="H11" s="535">
        <v>1.5</v>
      </c>
      <c r="I11" s="681" t="s">
        <v>130</v>
      </c>
      <c r="J11" s="533">
        <f>IF(I11="no",0,F11)</f>
        <v>0</v>
      </c>
      <c r="K11" s="534">
        <f>IF(I11="no",0,G11)</f>
        <v>0</v>
      </c>
      <c r="L11" s="536">
        <f>IF(I11="no",0,H11)</f>
        <v>0</v>
      </c>
      <c r="M11" s="547"/>
    </row>
    <row r="12" spans="1:18" ht="15.75" thickBot="1" x14ac:dyDescent="0.3">
      <c r="A12" s="509"/>
      <c r="B12" s="584"/>
      <c r="C12" s="302"/>
      <c r="D12" s="302"/>
      <c r="E12" s="302"/>
      <c r="F12" s="584"/>
      <c r="G12" s="584"/>
      <c r="H12" s="584"/>
      <c r="I12" s="516"/>
      <c r="J12" s="584"/>
      <c r="K12" s="302"/>
      <c r="L12" s="302"/>
      <c r="M12" s="547"/>
    </row>
    <row r="13" spans="1:18" s="1" customFormat="1" ht="60" customHeight="1" thickBot="1" x14ac:dyDescent="0.3">
      <c r="A13" s="509"/>
      <c r="B13" s="832" t="s">
        <v>316</v>
      </c>
      <c r="C13" s="833"/>
      <c r="D13" s="833"/>
      <c r="E13" s="833"/>
      <c r="F13" s="833"/>
      <c r="G13" s="833"/>
      <c r="H13" s="833"/>
      <c r="I13" s="834"/>
      <c r="J13" s="537">
        <f>SUM(J8:J11)</f>
        <v>0</v>
      </c>
      <c r="K13" s="537">
        <f t="shared" ref="K13:L13" si="0">SUM(K8:K11)</f>
        <v>0</v>
      </c>
      <c r="L13" s="538">
        <f t="shared" si="0"/>
        <v>0</v>
      </c>
      <c r="M13" s="585"/>
    </row>
    <row r="14" spans="1:18" x14ac:dyDescent="0.25">
      <c r="A14" s="586"/>
      <c r="B14" s="587"/>
      <c r="C14" s="587"/>
      <c r="D14" s="587"/>
      <c r="E14" s="587"/>
      <c r="F14" s="587"/>
      <c r="G14" s="587"/>
      <c r="H14" s="587"/>
      <c r="I14" s="587"/>
      <c r="J14" s="587"/>
      <c r="K14" s="587"/>
      <c r="L14" s="587"/>
      <c r="M14" s="588"/>
    </row>
    <row r="15" spans="1:18" x14ac:dyDescent="0.25">
      <c r="A15" s="586"/>
      <c r="B15" s="587"/>
      <c r="C15" s="587"/>
      <c r="D15" s="587"/>
      <c r="E15" s="587"/>
      <c r="F15" s="587"/>
      <c r="G15" s="587"/>
      <c r="H15" s="587"/>
      <c r="I15" s="587"/>
      <c r="J15" s="587"/>
      <c r="K15" s="587"/>
      <c r="L15" s="587"/>
      <c r="M15" s="588"/>
    </row>
    <row r="16" spans="1:18" x14ac:dyDescent="0.25">
      <c r="A16" s="589"/>
      <c r="B16" s="590"/>
      <c r="C16" s="590"/>
      <c r="D16" s="590"/>
      <c r="E16" s="590"/>
      <c r="F16" s="590"/>
      <c r="G16" s="590"/>
      <c r="H16" s="590"/>
      <c r="I16" s="590"/>
      <c r="J16" s="590"/>
      <c r="K16" s="590"/>
      <c r="L16" s="590"/>
      <c r="M16" s="591"/>
    </row>
    <row r="17" spans="1:12" x14ac:dyDescent="0.25">
      <c r="A17" s="63"/>
      <c r="B17" s="63"/>
      <c r="C17" s="63"/>
      <c r="D17" s="63"/>
      <c r="E17" s="63"/>
      <c r="F17" s="63"/>
      <c r="G17" s="63"/>
      <c r="H17" s="63"/>
      <c r="I17" s="63"/>
      <c r="J17" s="63"/>
      <c r="K17" s="63"/>
      <c r="L17" s="63"/>
    </row>
    <row r="18" spans="1:12" x14ac:dyDescent="0.25">
      <c r="A18" s="63"/>
      <c r="B18" s="63"/>
      <c r="C18" s="63"/>
      <c r="D18" s="63"/>
      <c r="E18" s="63"/>
      <c r="F18" s="63"/>
      <c r="G18" s="63"/>
      <c r="H18" s="63"/>
      <c r="I18" s="63"/>
      <c r="J18" s="63"/>
      <c r="K18" s="63"/>
      <c r="L18" s="63"/>
    </row>
    <row r="19" spans="1:12" x14ac:dyDescent="0.25">
      <c r="A19" s="63"/>
      <c r="B19" s="63"/>
      <c r="C19" s="63"/>
      <c r="D19" s="63"/>
      <c r="E19" s="63"/>
      <c r="F19" s="63"/>
      <c r="G19" s="63"/>
      <c r="H19" s="63"/>
      <c r="I19" s="63"/>
      <c r="J19" s="63"/>
      <c r="K19" s="63"/>
      <c r="L19" s="63"/>
    </row>
    <row r="20" spans="1:12" x14ac:dyDescent="0.25">
      <c r="A20" s="63"/>
      <c r="B20" s="63"/>
      <c r="C20" s="63"/>
      <c r="D20" s="63"/>
      <c r="E20" s="63"/>
      <c r="F20" s="63"/>
      <c r="G20" s="63"/>
      <c r="H20" s="63"/>
      <c r="I20" s="63"/>
      <c r="J20" s="63"/>
      <c r="K20" s="63"/>
      <c r="L20" s="63"/>
    </row>
    <row r="21" spans="1:12" x14ac:dyDescent="0.25">
      <c r="A21" s="63"/>
      <c r="B21" s="63"/>
      <c r="C21" s="63"/>
      <c r="D21" s="63"/>
      <c r="E21" s="63"/>
      <c r="F21" s="63"/>
      <c r="G21" s="63"/>
      <c r="H21" s="63"/>
      <c r="I21" s="63"/>
      <c r="J21" s="63"/>
      <c r="K21" s="63"/>
      <c r="L21" s="63"/>
    </row>
    <row r="22" spans="1:12" x14ac:dyDescent="0.25">
      <c r="A22" s="63"/>
      <c r="B22" s="63"/>
      <c r="C22" s="63"/>
      <c r="D22" s="63"/>
      <c r="E22" s="63"/>
      <c r="F22" s="63"/>
      <c r="G22" s="63"/>
      <c r="H22" s="63"/>
      <c r="I22" s="63"/>
      <c r="J22" s="63"/>
      <c r="K22" s="63"/>
      <c r="L22" s="63"/>
    </row>
    <row r="23" spans="1:12" x14ac:dyDescent="0.25">
      <c r="A23" s="63"/>
      <c r="B23" s="63"/>
      <c r="C23" s="63"/>
      <c r="D23" s="63"/>
      <c r="E23" s="63"/>
      <c r="F23" s="63"/>
      <c r="G23" s="63"/>
      <c r="H23" s="63"/>
      <c r="I23" s="63"/>
      <c r="J23" s="63"/>
      <c r="K23" s="63"/>
      <c r="L23" s="63"/>
    </row>
    <row r="24" spans="1:12" x14ac:dyDescent="0.25">
      <c r="A24" s="63"/>
      <c r="B24" s="63"/>
      <c r="C24" s="63"/>
      <c r="D24" s="63"/>
      <c r="E24" s="63"/>
      <c r="F24" s="63"/>
      <c r="G24" s="63"/>
      <c r="H24" s="63"/>
      <c r="I24" s="63"/>
      <c r="J24" s="63"/>
      <c r="K24" s="63"/>
      <c r="L24" s="63"/>
    </row>
    <row r="25" spans="1:12" x14ac:dyDescent="0.25">
      <c r="A25" s="63"/>
      <c r="B25" s="63"/>
      <c r="C25" s="63"/>
      <c r="D25" s="63"/>
      <c r="E25" s="63"/>
      <c r="F25" s="63"/>
      <c r="G25" s="63"/>
      <c r="H25" s="63"/>
      <c r="I25" s="63"/>
      <c r="J25" s="63"/>
      <c r="K25" s="63"/>
      <c r="L25" s="63"/>
    </row>
    <row r="26" spans="1:12" x14ac:dyDescent="0.25">
      <c r="A26" s="63"/>
      <c r="B26" s="63"/>
      <c r="C26" s="63"/>
      <c r="D26" s="63"/>
      <c r="E26" s="63"/>
      <c r="F26" s="63"/>
      <c r="G26" s="63"/>
      <c r="H26" s="63"/>
      <c r="I26" s="63"/>
      <c r="J26" s="63"/>
      <c r="K26" s="63"/>
      <c r="L26" s="63"/>
    </row>
  </sheetData>
  <sheetProtection algorithmName="SHA-512" hashValue="t2x4T34+hprxHjsGl4tSFkduR9i9NGEOoRfmp9kDKgQeSL2IguC2w7LfoQopiYeixxF/ZHVu6fSmvRuhuACQEw==" saltValue="JE01PMzZlJ52IunQa4MA7w==" spinCount="100000" sheet="1" objects="1" scenarios="1"/>
  <protectedRanges>
    <protectedRange sqref="I8:I11" name="Range1"/>
  </protectedRanges>
  <mergeCells count="8">
    <mergeCell ref="B13:I13"/>
    <mergeCell ref="B2:C2"/>
    <mergeCell ref="B3:C3"/>
    <mergeCell ref="B7:E7"/>
    <mergeCell ref="B8:D11"/>
    <mergeCell ref="D2:E2"/>
    <mergeCell ref="D3:E3"/>
    <mergeCell ref="B5:L5"/>
  </mergeCell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1">
        <x14:dataValidation type="list" allowBlank="1" showInputMessage="1" showErrorMessage="1">
          <x14:formula1>
            <xm:f>key!$A$2:$A$3</xm:f>
          </x14:formula1>
          <xm:sqref>I8:I11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7">
    <pageSetUpPr fitToPage="1"/>
  </sheetPr>
  <dimension ref="A1:L36"/>
  <sheetViews>
    <sheetView topLeftCell="A2" workbookViewId="0">
      <selection activeCell="H25" sqref="H25"/>
    </sheetView>
  </sheetViews>
  <sheetFormatPr baseColWidth="10" defaultColWidth="10.7109375" defaultRowHeight="15" x14ac:dyDescent="0.25"/>
  <cols>
    <col min="1" max="1" width="3" style="285" customWidth="1"/>
    <col min="2" max="2" width="15.7109375" style="288" customWidth="1"/>
    <col min="3" max="3" width="28.7109375" style="285" customWidth="1"/>
    <col min="4" max="4" width="68.42578125" style="285" customWidth="1"/>
    <col min="5" max="5" width="10.7109375" style="288" customWidth="1"/>
    <col min="6" max="6" width="11.7109375" style="288" customWidth="1"/>
    <col min="7" max="7" width="12.42578125" style="288" customWidth="1"/>
    <col min="8" max="8" width="12.7109375" style="288" customWidth="1"/>
    <col min="9" max="9" width="11.42578125" style="288" customWidth="1"/>
    <col min="10" max="10" width="11.42578125" style="285" customWidth="1"/>
    <col min="11" max="11" width="12.42578125" style="285" customWidth="1"/>
    <col min="12" max="16384" width="10.7109375" style="285"/>
  </cols>
  <sheetData>
    <row r="1" spans="1:12" ht="15.75" thickBot="1" x14ac:dyDescent="0.3">
      <c r="A1" s="544"/>
      <c r="B1" s="545"/>
      <c r="C1" s="545"/>
      <c r="D1" s="545"/>
      <c r="E1" s="545"/>
      <c r="F1" s="545"/>
      <c r="G1" s="545"/>
      <c r="H1" s="545"/>
      <c r="I1" s="545"/>
      <c r="J1" s="545"/>
      <c r="K1" s="545"/>
      <c r="L1" s="559"/>
    </row>
    <row r="2" spans="1:12" ht="32.25" customHeight="1" x14ac:dyDescent="0.25">
      <c r="A2" s="569"/>
      <c r="B2" s="799" t="str">
        <f>'Lakes and catchment areas'!B2</f>
        <v>Owner of water treatment plant:</v>
      </c>
      <c r="C2" s="800"/>
      <c r="D2" s="539" t="str">
        <f>'Lakes and catchment areas'!D2</f>
        <v>BB</v>
      </c>
      <c r="E2" s="498"/>
      <c r="F2" s="498"/>
      <c r="G2" s="498"/>
      <c r="H2" s="498"/>
      <c r="I2" s="498"/>
      <c r="J2" s="202"/>
      <c r="K2" s="202"/>
      <c r="L2" s="570"/>
    </row>
    <row r="3" spans="1:12" ht="33.75" customHeight="1" thickBot="1" x14ac:dyDescent="0.3">
      <c r="A3" s="569"/>
      <c r="B3" s="801" t="str">
        <f>'Lakes and catchment areas'!B3</f>
        <v>Name of the water treatment plant:</v>
      </c>
      <c r="C3" s="802"/>
      <c r="D3" s="540" t="str">
        <f>'Lakes and catchment areas'!D3</f>
        <v>VV</v>
      </c>
      <c r="E3" s="498"/>
      <c r="F3" s="498"/>
      <c r="G3" s="498"/>
      <c r="H3" s="498"/>
      <c r="I3" s="498"/>
      <c r="J3" s="202"/>
      <c r="K3" s="202"/>
      <c r="L3" s="570"/>
    </row>
    <row r="4" spans="1:12" ht="24" customHeight="1" thickBot="1" x14ac:dyDescent="0.3">
      <c r="A4" s="569"/>
      <c r="B4" s="796"/>
      <c r="C4" s="796"/>
      <c r="D4" s="796"/>
      <c r="E4" s="498"/>
      <c r="F4" s="498"/>
      <c r="G4" s="498"/>
      <c r="H4" s="498"/>
      <c r="I4" s="498"/>
      <c r="J4" s="202"/>
      <c r="K4" s="202"/>
      <c r="L4" s="570"/>
    </row>
    <row r="5" spans="1:12" ht="46.5" customHeight="1" thickBot="1" x14ac:dyDescent="0.3">
      <c r="A5" s="569"/>
      <c r="B5" s="812" t="s">
        <v>204</v>
      </c>
      <c r="C5" s="852"/>
      <c r="D5" s="853"/>
      <c r="E5" s="146" t="s">
        <v>120</v>
      </c>
      <c r="F5" s="147" t="s">
        <v>121</v>
      </c>
      <c r="G5" s="148" t="s">
        <v>122</v>
      </c>
      <c r="H5" s="372" t="s">
        <v>128</v>
      </c>
      <c r="I5" s="146" t="s">
        <v>120</v>
      </c>
      <c r="J5" s="147" t="s">
        <v>121</v>
      </c>
      <c r="K5" s="148" t="s">
        <v>122</v>
      </c>
      <c r="L5" s="570"/>
    </row>
    <row r="6" spans="1:12" ht="45.95" customHeight="1" x14ac:dyDescent="0.25">
      <c r="A6" s="569"/>
      <c r="B6" s="856" t="s">
        <v>168</v>
      </c>
      <c r="C6" s="859" t="s">
        <v>356</v>
      </c>
      <c r="D6" s="860"/>
      <c r="E6" s="336">
        <v>0.5</v>
      </c>
      <c r="F6" s="152">
        <v>0.25</v>
      </c>
      <c r="G6" s="152">
        <v>0.5</v>
      </c>
      <c r="H6" s="358" t="s">
        <v>130</v>
      </c>
      <c r="I6" s="321">
        <f>IF(H6="no",0,$E$6)</f>
        <v>0</v>
      </c>
      <c r="J6" s="322">
        <f>IF(H6="no",0,$F$6)</f>
        <v>0</v>
      </c>
      <c r="K6" s="323">
        <f>IF(H6="no",0,$G$6)</f>
        <v>0</v>
      </c>
      <c r="L6" s="570"/>
    </row>
    <row r="7" spans="1:12" ht="28.5" customHeight="1" x14ac:dyDescent="0.25">
      <c r="A7" s="569"/>
      <c r="B7" s="857"/>
      <c r="C7" s="854" t="s">
        <v>160</v>
      </c>
      <c r="D7" s="855"/>
      <c r="E7" s="337">
        <v>2</v>
      </c>
      <c r="F7" s="156">
        <v>1</v>
      </c>
      <c r="G7" s="156">
        <v>2</v>
      </c>
      <c r="H7" s="359" t="s">
        <v>130</v>
      </c>
      <c r="I7" s="161">
        <f>IF(H7="no",0,$E$7)</f>
        <v>0</v>
      </c>
      <c r="J7" s="159">
        <f>IF(H7="no",0,$F$7)</f>
        <v>0</v>
      </c>
      <c r="K7" s="160">
        <f>IF(H7="no",0,$G$7)</f>
        <v>0</v>
      </c>
      <c r="L7" s="570"/>
    </row>
    <row r="8" spans="1:12" ht="30" customHeight="1" x14ac:dyDescent="0.25">
      <c r="A8" s="569"/>
      <c r="B8" s="857"/>
      <c r="C8" s="854" t="s">
        <v>161</v>
      </c>
      <c r="D8" s="855"/>
      <c r="E8" s="337">
        <v>2.5</v>
      </c>
      <c r="F8" s="156">
        <v>2</v>
      </c>
      <c r="G8" s="156">
        <v>2.5</v>
      </c>
      <c r="H8" s="359" t="s">
        <v>130</v>
      </c>
      <c r="I8" s="161">
        <f>IF(H8="no",0,$E$8)</f>
        <v>0</v>
      </c>
      <c r="J8" s="159">
        <f>IF(H8="no",0,$F$8)</f>
        <v>0</v>
      </c>
      <c r="K8" s="160">
        <f>IF(H8="no",0,$G$8)</f>
        <v>0</v>
      </c>
      <c r="L8" s="570"/>
    </row>
    <row r="9" spans="1:12" ht="30.75" customHeight="1" x14ac:dyDescent="0.25">
      <c r="A9" s="569"/>
      <c r="B9" s="857"/>
      <c r="C9" s="861" t="s">
        <v>162</v>
      </c>
      <c r="D9" s="862"/>
      <c r="E9" s="337">
        <v>3</v>
      </c>
      <c r="F9" s="156">
        <v>3</v>
      </c>
      <c r="G9" s="156">
        <v>3</v>
      </c>
      <c r="H9" s="359" t="s">
        <v>130</v>
      </c>
      <c r="I9" s="161">
        <f>IF(H9="no",0,$E$9)</f>
        <v>0</v>
      </c>
      <c r="J9" s="159">
        <f>IF(H9="no",0,$F$9)</f>
        <v>0</v>
      </c>
      <c r="K9" s="160">
        <f>IF(H9="no",0,$G$9)</f>
        <v>0</v>
      </c>
      <c r="L9" s="570"/>
    </row>
    <row r="10" spans="1:12" ht="31.5" customHeight="1" x14ac:dyDescent="0.25">
      <c r="A10" s="569"/>
      <c r="B10" s="857"/>
      <c r="C10" s="854" t="s">
        <v>163</v>
      </c>
      <c r="D10" s="855"/>
      <c r="E10" s="337">
        <v>2</v>
      </c>
      <c r="F10" s="156">
        <v>2</v>
      </c>
      <c r="G10" s="156">
        <v>2</v>
      </c>
      <c r="H10" s="359" t="s">
        <v>130</v>
      </c>
      <c r="I10" s="161">
        <f>IF(H10="no",0,$E$10)</f>
        <v>0</v>
      </c>
      <c r="J10" s="159">
        <f>IF(H10="no",0,$F$10)</f>
        <v>0</v>
      </c>
      <c r="K10" s="160">
        <f>IF(H10="no",0,$G$10)</f>
        <v>0</v>
      </c>
      <c r="L10" s="570"/>
    </row>
    <row r="11" spans="1:12" ht="30" customHeight="1" x14ac:dyDescent="0.25">
      <c r="A11" s="569"/>
      <c r="B11" s="857"/>
      <c r="C11" s="854" t="s">
        <v>164</v>
      </c>
      <c r="D11" s="855"/>
      <c r="E11" s="337">
        <v>2.25</v>
      </c>
      <c r="F11" s="156">
        <v>1.5</v>
      </c>
      <c r="G11" s="156">
        <v>2.25</v>
      </c>
      <c r="H11" s="359" t="s">
        <v>130</v>
      </c>
      <c r="I11" s="155">
        <f>IF(H11="no",0,$E$11)</f>
        <v>0</v>
      </c>
      <c r="J11" s="156">
        <f>IF(H11="no",0,$F$11)</f>
        <v>0</v>
      </c>
      <c r="K11" s="157">
        <f>IF(H11="no",0,$G$11)</f>
        <v>0</v>
      </c>
      <c r="L11" s="570"/>
    </row>
    <row r="12" spans="1:12" ht="30" customHeight="1" x14ac:dyDescent="0.25">
      <c r="A12" s="569"/>
      <c r="B12" s="857"/>
      <c r="C12" s="854" t="s">
        <v>359</v>
      </c>
      <c r="D12" s="855"/>
      <c r="E12" s="337">
        <v>2.5</v>
      </c>
      <c r="F12" s="156">
        <v>2</v>
      </c>
      <c r="G12" s="156">
        <v>2.5</v>
      </c>
      <c r="H12" s="359" t="s">
        <v>130</v>
      </c>
      <c r="I12" s="155">
        <f>IF(H12="no",0,$E$12)</f>
        <v>0</v>
      </c>
      <c r="J12" s="156">
        <f>IF(H12="no",0,$F$12)</f>
        <v>0</v>
      </c>
      <c r="K12" s="157">
        <f>IF(H12="no",0,$G$12)</f>
        <v>0</v>
      </c>
      <c r="L12" s="570"/>
    </row>
    <row r="13" spans="1:12" ht="29.25" customHeight="1" x14ac:dyDescent="0.25">
      <c r="A13" s="569"/>
      <c r="B13" s="857"/>
      <c r="C13" s="854" t="s">
        <v>357</v>
      </c>
      <c r="D13" s="855"/>
      <c r="E13" s="337">
        <v>2.5</v>
      </c>
      <c r="F13" s="156">
        <v>1.75</v>
      </c>
      <c r="G13" s="156">
        <v>2.5</v>
      </c>
      <c r="H13" s="359" t="s">
        <v>130</v>
      </c>
      <c r="I13" s="155">
        <f>IF(H13="no",0,$E$13)</f>
        <v>0</v>
      </c>
      <c r="J13" s="156">
        <f>IF(H13="no",0,$F$13)</f>
        <v>0</v>
      </c>
      <c r="K13" s="157">
        <f>IF(H13="no",0,$G$13)</f>
        <v>0</v>
      </c>
      <c r="L13" s="570"/>
    </row>
    <row r="14" spans="1:12" ht="29.25" customHeight="1" x14ac:dyDescent="0.25">
      <c r="A14" s="569"/>
      <c r="B14" s="857"/>
      <c r="C14" s="854" t="s">
        <v>358</v>
      </c>
      <c r="D14" s="855"/>
      <c r="E14" s="337">
        <v>2.75</v>
      </c>
      <c r="F14" s="156">
        <v>2.25</v>
      </c>
      <c r="G14" s="156">
        <v>2.75</v>
      </c>
      <c r="H14" s="359" t="s">
        <v>130</v>
      </c>
      <c r="I14" s="161">
        <f>IF(H14="no",0,$E$14)</f>
        <v>0</v>
      </c>
      <c r="J14" s="159">
        <f>IF(H14="no",0,$F$14)</f>
        <v>0</v>
      </c>
      <c r="K14" s="160">
        <f>IF(H14="no",0,$G$14)</f>
        <v>0</v>
      </c>
      <c r="L14" s="570"/>
    </row>
    <row r="15" spans="1:12" ht="29.25" customHeight="1" x14ac:dyDescent="0.25">
      <c r="A15" s="569"/>
      <c r="B15" s="857"/>
      <c r="C15" s="863" t="s">
        <v>165</v>
      </c>
      <c r="D15" s="864"/>
      <c r="E15" s="338">
        <v>3</v>
      </c>
      <c r="F15" s="198">
        <v>2.5</v>
      </c>
      <c r="G15" s="198">
        <v>3</v>
      </c>
      <c r="H15" s="359" t="s">
        <v>130</v>
      </c>
      <c r="I15" s="161">
        <f>IF(H15="no",0,$E$15)</f>
        <v>0</v>
      </c>
      <c r="J15" s="159">
        <f>IF(H15="no",0,$F$15)</f>
        <v>0</v>
      </c>
      <c r="K15" s="160">
        <f>IF(H15="no",0,$G$15)</f>
        <v>0</v>
      </c>
      <c r="L15" s="570"/>
    </row>
    <row r="16" spans="1:12" ht="30" customHeight="1" thickBot="1" x14ac:dyDescent="0.3">
      <c r="A16" s="569"/>
      <c r="B16" s="857"/>
      <c r="C16" s="865" t="s">
        <v>166</v>
      </c>
      <c r="D16" s="866"/>
      <c r="E16" s="338">
        <v>3</v>
      </c>
      <c r="F16" s="198">
        <v>3</v>
      </c>
      <c r="G16" s="327">
        <v>3</v>
      </c>
      <c r="H16" s="360" t="s">
        <v>130</v>
      </c>
      <c r="I16" s="329">
        <f>IF(H16="no",0,$E$16)</f>
        <v>0</v>
      </c>
      <c r="J16" s="330">
        <f>IF(H16="no",0,$F$16)</f>
        <v>0</v>
      </c>
      <c r="K16" s="331">
        <f>IF(H16="no",0,$G$16)</f>
        <v>0</v>
      </c>
      <c r="L16" s="570"/>
    </row>
    <row r="17" spans="1:12" ht="53.25" customHeight="1" thickBot="1" x14ac:dyDescent="0.3">
      <c r="A17" s="569"/>
      <c r="B17" s="858"/>
      <c r="C17" s="791" t="s">
        <v>167</v>
      </c>
      <c r="D17" s="792"/>
      <c r="E17" s="792"/>
      <c r="F17" s="792"/>
      <c r="G17" s="792"/>
      <c r="H17" s="793"/>
      <c r="I17" s="162">
        <f>SUM(I6:I16)</f>
        <v>0</v>
      </c>
      <c r="J17" s="163">
        <f>SUM(J6:J16)</f>
        <v>0</v>
      </c>
      <c r="K17" s="164">
        <f>SUM(K6:K16)</f>
        <v>0</v>
      </c>
      <c r="L17" s="570"/>
    </row>
    <row r="18" spans="1:12" ht="15.75" thickBot="1" x14ac:dyDescent="0.3">
      <c r="A18" s="569"/>
      <c r="B18" s="498"/>
      <c r="C18" s="202"/>
      <c r="D18" s="202"/>
      <c r="E18" s="498"/>
      <c r="F18" s="498"/>
      <c r="G18" s="498"/>
      <c r="H18" s="498"/>
      <c r="I18" s="498"/>
      <c r="J18" s="202"/>
      <c r="K18" s="202"/>
      <c r="L18" s="570"/>
    </row>
    <row r="19" spans="1:12" ht="39.75" customHeight="1" thickBot="1" x14ac:dyDescent="0.3">
      <c r="A19" s="569"/>
      <c r="B19" s="826" t="s">
        <v>360</v>
      </c>
      <c r="C19" s="878" t="s">
        <v>170</v>
      </c>
      <c r="D19" s="875" t="s">
        <v>444</v>
      </c>
      <c r="E19" s="876"/>
      <c r="F19" s="876"/>
      <c r="G19" s="876"/>
      <c r="H19" s="877"/>
      <c r="I19" s="146" t="s">
        <v>120</v>
      </c>
      <c r="J19" s="147" t="s">
        <v>121</v>
      </c>
      <c r="K19" s="148" t="s">
        <v>122</v>
      </c>
      <c r="L19" s="570"/>
    </row>
    <row r="20" spans="1:12" ht="29.1" customHeight="1" x14ac:dyDescent="0.25">
      <c r="A20" s="569"/>
      <c r="B20" s="827"/>
      <c r="C20" s="879"/>
      <c r="D20" s="871" t="s">
        <v>172</v>
      </c>
      <c r="E20" s="871"/>
      <c r="F20" s="871"/>
      <c r="G20" s="203">
        <v>0.4</v>
      </c>
      <c r="H20" s="361" t="s">
        <v>130</v>
      </c>
      <c r="I20" s="158">
        <f>IF($H$20="no",0,I17*$G$20)</f>
        <v>0</v>
      </c>
      <c r="J20" s="159">
        <f>IF($H$20="no",0,J17*$G$20)</f>
        <v>0</v>
      </c>
      <c r="K20" s="160">
        <f>IF($H$20="no",0,K17*$G$20)</f>
        <v>0</v>
      </c>
      <c r="L20" s="570"/>
    </row>
    <row r="21" spans="1:12" ht="50.1" customHeight="1" x14ac:dyDescent="0.25">
      <c r="A21" s="569"/>
      <c r="B21" s="827"/>
      <c r="C21" s="879"/>
      <c r="D21" s="870" t="s">
        <v>361</v>
      </c>
      <c r="E21" s="870"/>
      <c r="F21" s="870"/>
      <c r="G21" s="203">
        <v>0.2</v>
      </c>
      <c r="H21" s="361" t="s">
        <v>130</v>
      </c>
      <c r="I21" s="161">
        <f>IF($H$21="no",0,I17*$G$21)</f>
        <v>0</v>
      </c>
      <c r="J21" s="159">
        <f>IF($H$21="no",0,J17*$G$21)</f>
        <v>0</v>
      </c>
      <c r="K21" s="160">
        <f>IF($H$21="no",0,K17*$G$21)</f>
        <v>0</v>
      </c>
      <c r="L21" s="570"/>
    </row>
    <row r="22" spans="1:12" ht="54" customHeight="1" x14ac:dyDescent="0.25">
      <c r="A22" s="569"/>
      <c r="B22" s="827"/>
      <c r="C22" s="879"/>
      <c r="D22" s="870" t="s">
        <v>362</v>
      </c>
      <c r="E22" s="870"/>
      <c r="F22" s="870"/>
      <c r="G22" s="203">
        <v>0.1</v>
      </c>
      <c r="H22" s="361" t="s">
        <v>130</v>
      </c>
      <c r="I22" s="161">
        <f>IF($H$22="no",0,I17*$G$22)</f>
        <v>0</v>
      </c>
      <c r="J22" s="159">
        <f>IF($H$22="no",0,J17*$G$22)</f>
        <v>0</v>
      </c>
      <c r="K22" s="160">
        <f>IF($H$22="no",0,K17*$G$22)</f>
        <v>0</v>
      </c>
      <c r="L22" s="570"/>
    </row>
    <row r="23" spans="1:12" ht="50.1" customHeight="1" thickBot="1" x14ac:dyDescent="0.3">
      <c r="A23" s="569"/>
      <c r="B23" s="827"/>
      <c r="C23" s="880"/>
      <c r="D23" s="870" t="s">
        <v>363</v>
      </c>
      <c r="E23" s="870"/>
      <c r="F23" s="870"/>
      <c r="G23" s="340">
        <v>0</v>
      </c>
      <c r="H23" s="362" t="s">
        <v>130</v>
      </c>
      <c r="I23" s="329">
        <f>IF($H$23="no",0,I17*$G$23)</f>
        <v>0</v>
      </c>
      <c r="J23" s="330">
        <f>IF($H$23="no",0,J17*$G$23)</f>
        <v>0</v>
      </c>
      <c r="K23" s="331">
        <f>IF($H$23="no",0,K17*$G$23)</f>
        <v>0</v>
      </c>
      <c r="L23" s="570"/>
    </row>
    <row r="24" spans="1:12" ht="33.75" customHeight="1" x14ac:dyDescent="0.25">
      <c r="A24" s="569"/>
      <c r="B24" s="827"/>
      <c r="C24" s="872" t="s">
        <v>171</v>
      </c>
      <c r="D24" s="875" t="s">
        <v>445</v>
      </c>
      <c r="E24" s="876"/>
      <c r="F24" s="876"/>
      <c r="G24" s="876"/>
      <c r="H24" s="877"/>
      <c r="I24" s="321"/>
      <c r="J24" s="341"/>
      <c r="K24" s="323"/>
      <c r="L24" s="570"/>
    </row>
    <row r="25" spans="1:12" ht="28.35" customHeight="1" x14ac:dyDescent="0.25">
      <c r="A25" s="569"/>
      <c r="B25" s="827"/>
      <c r="C25" s="873"/>
      <c r="D25" s="871" t="s">
        <v>172</v>
      </c>
      <c r="E25" s="871"/>
      <c r="F25" s="871"/>
      <c r="G25" s="342">
        <v>0.4</v>
      </c>
      <c r="H25" s="363" t="s">
        <v>130</v>
      </c>
      <c r="I25" s="158">
        <f>IF($H$25="no",0,I17*$G$25)</f>
        <v>0</v>
      </c>
      <c r="J25" s="168">
        <f>IF($H$25="no",0,J17*$G$25)</f>
        <v>0</v>
      </c>
      <c r="K25" s="169">
        <f>IF($H$25="no",0,K17*$G$25)</f>
        <v>0</v>
      </c>
      <c r="L25" s="570"/>
    </row>
    <row r="26" spans="1:12" ht="42.75" customHeight="1" x14ac:dyDescent="0.25">
      <c r="A26" s="569"/>
      <c r="B26" s="827"/>
      <c r="C26" s="873"/>
      <c r="D26" s="870" t="s">
        <v>173</v>
      </c>
      <c r="E26" s="870"/>
      <c r="F26" s="870"/>
      <c r="G26" s="203">
        <v>0.2</v>
      </c>
      <c r="H26" s="361" t="s">
        <v>130</v>
      </c>
      <c r="I26" s="161">
        <f>IF($H$26="no",0,I17*$G$26)</f>
        <v>0</v>
      </c>
      <c r="J26" s="159">
        <f>IF($H$26="no",0,J17*$G$26)</f>
        <v>0</v>
      </c>
      <c r="K26" s="160">
        <f>IF($H$26="no",0,K17*$G$26)</f>
        <v>0</v>
      </c>
      <c r="L26" s="570"/>
    </row>
    <row r="27" spans="1:12" ht="45" customHeight="1" x14ac:dyDescent="0.25">
      <c r="A27" s="569"/>
      <c r="B27" s="827"/>
      <c r="C27" s="873"/>
      <c r="D27" s="870" t="s">
        <v>174</v>
      </c>
      <c r="E27" s="870"/>
      <c r="F27" s="870"/>
      <c r="G27" s="203">
        <v>0</v>
      </c>
      <c r="H27" s="361" t="s">
        <v>130</v>
      </c>
      <c r="I27" s="161">
        <f>IF($H$27="no",0,I17*$G$27)</f>
        <v>0</v>
      </c>
      <c r="J27" s="159">
        <f>IF($H$27="no",0,J17*$G$27)</f>
        <v>0</v>
      </c>
      <c r="K27" s="160">
        <f>IF($H$27="no",0,K17*$G$27)</f>
        <v>0</v>
      </c>
      <c r="L27" s="570"/>
    </row>
    <row r="28" spans="1:12" ht="39" customHeight="1" x14ac:dyDescent="0.25">
      <c r="A28" s="569"/>
      <c r="B28" s="827"/>
      <c r="C28" s="873"/>
      <c r="D28" s="870" t="s">
        <v>364</v>
      </c>
      <c r="E28" s="870"/>
      <c r="F28" s="870"/>
      <c r="G28" s="203">
        <v>0.2</v>
      </c>
      <c r="H28" s="361" t="s">
        <v>130</v>
      </c>
      <c r="I28" s="161">
        <f>IF($H$28="no",0,I17*$G$28)</f>
        <v>0</v>
      </c>
      <c r="J28" s="159">
        <f>IF($H$28="no",0,J17*$G$28)</f>
        <v>0</v>
      </c>
      <c r="K28" s="160">
        <f>IF($H$28="no",0,K17*$G$28)</f>
        <v>0</v>
      </c>
      <c r="L28" s="570"/>
    </row>
    <row r="29" spans="1:12" ht="36.75" customHeight="1" thickBot="1" x14ac:dyDescent="0.3">
      <c r="A29" s="569"/>
      <c r="B29" s="828"/>
      <c r="C29" s="874"/>
      <c r="D29" s="870" t="s">
        <v>177</v>
      </c>
      <c r="E29" s="870"/>
      <c r="F29" s="870"/>
      <c r="G29" s="340">
        <v>0</v>
      </c>
      <c r="H29" s="362" t="s">
        <v>130</v>
      </c>
      <c r="I29" s="329">
        <f>IF($H$29="no",0,I17*$G$29)</f>
        <v>0</v>
      </c>
      <c r="J29" s="330">
        <f>IF($H$29="no",0,J17*$G$29)</f>
        <v>0</v>
      </c>
      <c r="K29" s="331">
        <f>IF($H$29="nei",0,K17*$G$29)</f>
        <v>0</v>
      </c>
      <c r="L29" s="570"/>
    </row>
    <row r="30" spans="1:12" ht="15.75" thickBot="1" x14ac:dyDescent="0.3">
      <c r="A30" s="569"/>
      <c r="B30" s="587"/>
      <c r="C30" s="303"/>
      <c r="D30" s="303"/>
      <c r="E30" s="587"/>
      <c r="F30" s="587"/>
      <c r="G30" s="587"/>
      <c r="H30" s="587"/>
      <c r="I30" s="587"/>
      <c r="J30" s="303"/>
      <c r="K30" s="303"/>
      <c r="L30" s="570"/>
    </row>
    <row r="31" spans="1:12" ht="60" customHeight="1" thickBot="1" x14ac:dyDescent="0.3">
      <c r="A31" s="569"/>
      <c r="B31" s="867" t="s">
        <v>176</v>
      </c>
      <c r="C31" s="868"/>
      <c r="D31" s="868"/>
      <c r="E31" s="868"/>
      <c r="F31" s="868"/>
      <c r="G31" s="868"/>
      <c r="H31" s="869"/>
      <c r="I31" s="447">
        <f>I17-SUM(I20:I29)</f>
        <v>0</v>
      </c>
      <c r="J31" s="163">
        <f t="shared" ref="J31" si="0">J17-SUM(J20:J29)</f>
        <v>0</v>
      </c>
      <c r="K31" s="164">
        <f>K17-SUM(K20:K29)</f>
        <v>0</v>
      </c>
      <c r="L31" s="570"/>
    </row>
    <row r="32" spans="1:12" x14ac:dyDescent="0.25">
      <c r="A32" s="569"/>
      <c r="B32" s="574"/>
      <c r="C32" s="573"/>
      <c r="D32" s="573"/>
      <c r="E32" s="574"/>
      <c r="F32" s="574"/>
      <c r="G32" s="574"/>
      <c r="H32" s="574"/>
      <c r="I32" s="574"/>
      <c r="J32" s="573"/>
      <c r="K32" s="573"/>
      <c r="L32" s="570"/>
    </row>
    <row r="33" spans="1:12" x14ac:dyDescent="0.25">
      <c r="A33" s="569"/>
      <c r="B33" s="574"/>
      <c r="C33" s="573"/>
      <c r="D33" s="573"/>
      <c r="E33" s="574"/>
      <c r="F33" s="574"/>
      <c r="G33" s="574"/>
      <c r="H33" s="574"/>
      <c r="I33" s="574"/>
      <c r="J33" s="573"/>
      <c r="K33" s="573"/>
      <c r="L33" s="570"/>
    </row>
    <row r="34" spans="1:12" x14ac:dyDescent="0.25">
      <c r="A34" s="576"/>
      <c r="B34" s="578"/>
      <c r="C34" s="577"/>
      <c r="D34" s="577"/>
      <c r="E34" s="578"/>
      <c r="F34" s="578"/>
      <c r="G34" s="578"/>
      <c r="H34" s="578"/>
      <c r="I34" s="578"/>
      <c r="J34" s="577"/>
      <c r="K34" s="577"/>
      <c r="L34" s="580"/>
    </row>
    <row r="35" spans="1:12" x14ac:dyDescent="0.25">
      <c r="L35" s="284"/>
    </row>
    <row r="36" spans="1:12" x14ac:dyDescent="0.25">
      <c r="L36" s="284"/>
    </row>
  </sheetData>
  <sheetProtection algorithmName="SHA-512" hashValue="s9XogrBnI2fm0ipq40CSblD4lpMP4JaEE3z2erAkJYwsBNjCKHBU9F+RCgE/Bl0iTXI3LDt2ECn7Ck3h4/fFdw==" saltValue="PG6sp8QrAu1qJM89EthblA==" spinCount="100000" sheet="1" selectLockedCells="1"/>
  <protectedRanges>
    <protectedRange sqref="H25:H29" name="Range3"/>
    <protectedRange sqref="H20:H23" name="Range2"/>
    <protectedRange sqref="H6:H16" name="Range1"/>
  </protectedRanges>
  <mergeCells count="32">
    <mergeCell ref="B31:H31"/>
    <mergeCell ref="D29:F29"/>
    <mergeCell ref="C17:H17"/>
    <mergeCell ref="D23:F23"/>
    <mergeCell ref="D25:F25"/>
    <mergeCell ref="D26:F26"/>
    <mergeCell ref="D27:F27"/>
    <mergeCell ref="D28:F28"/>
    <mergeCell ref="D20:F20"/>
    <mergeCell ref="D21:F21"/>
    <mergeCell ref="D22:F22"/>
    <mergeCell ref="C24:C29"/>
    <mergeCell ref="D19:H19"/>
    <mergeCell ref="D24:H24"/>
    <mergeCell ref="B19:B29"/>
    <mergeCell ref="C19:C23"/>
    <mergeCell ref="C14:D14"/>
    <mergeCell ref="C10:D10"/>
    <mergeCell ref="B6:B17"/>
    <mergeCell ref="C6:D6"/>
    <mergeCell ref="C7:D7"/>
    <mergeCell ref="C8:D8"/>
    <mergeCell ref="C9:D9"/>
    <mergeCell ref="C11:D11"/>
    <mergeCell ref="C12:D12"/>
    <mergeCell ref="C15:D15"/>
    <mergeCell ref="C16:D16"/>
    <mergeCell ref="B4:D4"/>
    <mergeCell ref="B2:C2"/>
    <mergeCell ref="B3:C3"/>
    <mergeCell ref="B5:D5"/>
    <mergeCell ref="C13:D13"/>
  </mergeCells>
  <phoneticPr fontId="4" type="noConversion"/>
  <printOptions horizontalCentered="1" verticalCentered="1"/>
  <pageMargins left="0.78740157480314965" right="0.78740157480314965" top="1.1811023622047245" bottom="0.78740157480314965" header="0" footer="0"/>
  <pageSetup paperSize="9" scale="58" orientation="landscape"/>
  <headerFooter>
    <oddHeader>&amp;L&amp;"Times New Roman,Halvfet"&amp;16Microbial barrier analysis (MBA)
Operational tool&amp;C&amp;"Times New Roman,Halvfet"&amp;16&amp;A&amp;R&amp;"Times New Roman,Halvfet"&amp;16Page &amp;P of &amp;N
&amp;D</oddHeader>
  </headerFooter>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key!$A$2:$A$3</xm:f>
          </x14:formula1>
          <xm:sqref>H6:H16 H20:H23 H25:H29</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8"/>
  <sheetViews>
    <sheetView topLeftCell="A7" workbookViewId="0">
      <selection activeCell="H29" sqref="H29"/>
    </sheetView>
  </sheetViews>
  <sheetFormatPr baseColWidth="10" defaultColWidth="10.7109375" defaultRowHeight="15" x14ac:dyDescent="0.25"/>
  <cols>
    <col min="1" max="1" width="3" style="285" customWidth="1"/>
    <col min="2" max="2" width="15.7109375" style="288" customWidth="1"/>
    <col min="3" max="3" width="28.7109375" style="285" customWidth="1"/>
    <col min="4" max="4" width="66.85546875" style="285" customWidth="1"/>
    <col min="5" max="5" width="10.7109375" style="288" customWidth="1"/>
    <col min="6" max="6" width="11.7109375" style="288" customWidth="1"/>
    <col min="7" max="7" width="12.42578125" style="288" customWidth="1"/>
    <col min="8" max="8" width="12.7109375" style="288" customWidth="1"/>
    <col min="9" max="9" width="11.42578125" style="288" customWidth="1"/>
    <col min="10" max="10" width="11.42578125" style="285" customWidth="1"/>
    <col min="11" max="11" width="12.42578125" style="285" customWidth="1"/>
    <col min="12" max="16384" width="10.7109375" style="285"/>
  </cols>
  <sheetData>
    <row r="1" spans="1:12" ht="15.75" thickBot="1" x14ac:dyDescent="0.3">
      <c r="A1" s="544"/>
      <c r="B1" s="545"/>
      <c r="C1" s="545"/>
      <c r="D1" s="545"/>
      <c r="E1" s="545"/>
      <c r="F1" s="545"/>
      <c r="G1" s="545"/>
      <c r="H1" s="545"/>
      <c r="I1" s="545"/>
      <c r="J1" s="545"/>
      <c r="K1" s="545"/>
      <c r="L1" s="559"/>
    </row>
    <row r="2" spans="1:12" ht="32.25" customHeight="1" x14ac:dyDescent="0.25">
      <c r="A2" s="569"/>
      <c r="B2" s="835" t="str">
        <f>'Lakes and catchment areas'!B2</f>
        <v>Owner of water treatment plant:</v>
      </c>
      <c r="C2" s="888"/>
      <c r="D2" s="541" t="str">
        <f>'Lakes and catchment areas'!D2</f>
        <v>BB</v>
      </c>
      <c r="E2" s="498"/>
      <c r="F2" s="498"/>
      <c r="G2" s="498"/>
      <c r="H2" s="498"/>
      <c r="I2" s="498"/>
      <c r="J2" s="202"/>
      <c r="K2" s="202"/>
      <c r="L2" s="570"/>
    </row>
    <row r="3" spans="1:12" ht="33.75" customHeight="1" thickBot="1" x14ac:dyDescent="0.3">
      <c r="A3" s="569"/>
      <c r="B3" s="836" t="str">
        <f>'Lakes and catchment areas'!B3</f>
        <v>Name of the water treatment plant:</v>
      </c>
      <c r="C3" s="889"/>
      <c r="D3" s="542" t="str">
        <f>'Lakes and catchment areas'!D3</f>
        <v>VV</v>
      </c>
      <c r="E3" s="498"/>
      <c r="F3" s="498"/>
      <c r="G3" s="498"/>
      <c r="H3" s="498"/>
      <c r="I3" s="498"/>
      <c r="J3" s="202"/>
      <c r="K3" s="202"/>
      <c r="L3" s="570"/>
    </row>
    <row r="4" spans="1:12" ht="18" customHeight="1" x14ac:dyDescent="0.25">
      <c r="A4" s="569"/>
      <c r="B4" s="543"/>
      <c r="C4" s="543"/>
      <c r="D4" s="498"/>
      <c r="E4" s="498"/>
      <c r="F4" s="498"/>
      <c r="G4" s="498"/>
      <c r="H4" s="498"/>
      <c r="I4" s="498"/>
      <c r="J4" s="202"/>
      <c r="K4" s="202"/>
      <c r="L4" s="570"/>
    </row>
    <row r="5" spans="1:12" ht="18.75" customHeight="1" x14ac:dyDescent="0.25">
      <c r="A5" s="569"/>
      <c r="B5" s="887" t="s">
        <v>175</v>
      </c>
      <c r="C5" s="887"/>
      <c r="D5" s="887"/>
      <c r="E5" s="887"/>
      <c r="F5" s="887"/>
      <c r="G5" s="887"/>
      <c r="H5" s="887"/>
      <c r="I5" s="887"/>
      <c r="J5" s="887"/>
      <c r="K5" s="887"/>
      <c r="L5" s="570"/>
    </row>
    <row r="6" spans="1:12" ht="24" customHeight="1" thickBot="1" x14ac:dyDescent="0.3">
      <c r="A6" s="569"/>
      <c r="B6" s="890"/>
      <c r="C6" s="890"/>
      <c r="D6" s="890"/>
      <c r="E6" s="498"/>
      <c r="F6" s="498"/>
      <c r="G6" s="498"/>
      <c r="H6" s="498"/>
      <c r="I6" s="498"/>
      <c r="J6" s="202"/>
      <c r="K6" s="202"/>
      <c r="L6" s="570"/>
    </row>
    <row r="7" spans="1:12" ht="46.5" customHeight="1" thickBot="1" x14ac:dyDescent="0.3">
      <c r="A7" s="569"/>
      <c r="B7" s="812" t="s">
        <v>205</v>
      </c>
      <c r="C7" s="852"/>
      <c r="D7" s="853"/>
      <c r="E7" s="146" t="s">
        <v>120</v>
      </c>
      <c r="F7" s="147" t="s">
        <v>121</v>
      </c>
      <c r="G7" s="148" t="s">
        <v>122</v>
      </c>
      <c r="H7" s="372" t="s">
        <v>128</v>
      </c>
      <c r="I7" s="146" t="s">
        <v>120</v>
      </c>
      <c r="J7" s="147" t="s">
        <v>121</v>
      </c>
      <c r="K7" s="148" t="s">
        <v>122</v>
      </c>
      <c r="L7" s="570"/>
    </row>
    <row r="8" spans="1:12" ht="45.95" customHeight="1" x14ac:dyDescent="0.25">
      <c r="A8" s="569"/>
      <c r="B8" s="856" t="s">
        <v>168</v>
      </c>
      <c r="C8" s="859" t="s">
        <v>356</v>
      </c>
      <c r="D8" s="860"/>
      <c r="E8" s="336">
        <v>0.5</v>
      </c>
      <c r="F8" s="152">
        <v>0.25</v>
      </c>
      <c r="G8" s="152">
        <v>0.5</v>
      </c>
      <c r="H8" s="358" t="s">
        <v>130</v>
      </c>
      <c r="I8" s="321">
        <f>IF(H8="no",0,$E$8)</f>
        <v>0</v>
      </c>
      <c r="J8" s="322">
        <f>IF(H8="no",0,$F$8)</f>
        <v>0</v>
      </c>
      <c r="K8" s="323">
        <f>IF(H8="no",0,$G$8)</f>
        <v>0</v>
      </c>
      <c r="L8" s="570"/>
    </row>
    <row r="9" spans="1:12" ht="28.5" customHeight="1" x14ac:dyDescent="0.25">
      <c r="A9" s="569"/>
      <c r="B9" s="857"/>
      <c r="C9" s="854" t="s">
        <v>160</v>
      </c>
      <c r="D9" s="855"/>
      <c r="E9" s="337">
        <v>2</v>
      </c>
      <c r="F9" s="156">
        <v>1</v>
      </c>
      <c r="G9" s="156">
        <v>2</v>
      </c>
      <c r="H9" s="359" t="s">
        <v>130</v>
      </c>
      <c r="I9" s="161">
        <f>IF(H9="no",0,$E$9)</f>
        <v>0</v>
      </c>
      <c r="J9" s="159">
        <f>IF(H9="no",0,$F$9)</f>
        <v>0</v>
      </c>
      <c r="K9" s="160">
        <f>IF(H9="no",0,$G$9)</f>
        <v>0</v>
      </c>
      <c r="L9" s="570"/>
    </row>
    <row r="10" spans="1:12" ht="30" customHeight="1" x14ac:dyDescent="0.25">
      <c r="A10" s="569"/>
      <c r="B10" s="857"/>
      <c r="C10" s="854" t="s">
        <v>161</v>
      </c>
      <c r="D10" s="855"/>
      <c r="E10" s="337">
        <v>2.5</v>
      </c>
      <c r="F10" s="156">
        <v>2</v>
      </c>
      <c r="G10" s="156">
        <v>2.5</v>
      </c>
      <c r="H10" s="359" t="s">
        <v>130</v>
      </c>
      <c r="I10" s="161">
        <f>IF(H10="no",0,$E$10)</f>
        <v>0</v>
      </c>
      <c r="J10" s="159">
        <f>IF(H10="no",0,$F$10)</f>
        <v>0</v>
      </c>
      <c r="K10" s="160">
        <f>IF(H10="no",0,$G$10)</f>
        <v>0</v>
      </c>
      <c r="L10" s="570"/>
    </row>
    <row r="11" spans="1:12" ht="30.75" customHeight="1" x14ac:dyDescent="0.25">
      <c r="A11" s="569"/>
      <c r="B11" s="857"/>
      <c r="C11" s="861" t="s">
        <v>162</v>
      </c>
      <c r="D11" s="862"/>
      <c r="E11" s="337">
        <v>3</v>
      </c>
      <c r="F11" s="156">
        <v>3</v>
      </c>
      <c r="G11" s="156">
        <v>3</v>
      </c>
      <c r="H11" s="359" t="s">
        <v>130</v>
      </c>
      <c r="I11" s="161">
        <f>IF(H11="no",0,$E$11)</f>
        <v>0</v>
      </c>
      <c r="J11" s="159">
        <f>IF(H11="no",0,$F$11)</f>
        <v>0</v>
      </c>
      <c r="K11" s="160">
        <f>IF(H11="no",0,$G$11)</f>
        <v>0</v>
      </c>
      <c r="L11" s="570"/>
    </row>
    <row r="12" spans="1:12" ht="31.5" customHeight="1" x14ac:dyDescent="0.25">
      <c r="A12" s="569"/>
      <c r="B12" s="857"/>
      <c r="C12" s="854" t="s">
        <v>163</v>
      </c>
      <c r="D12" s="855"/>
      <c r="E12" s="337">
        <v>2</v>
      </c>
      <c r="F12" s="156">
        <v>2</v>
      </c>
      <c r="G12" s="156">
        <v>2</v>
      </c>
      <c r="H12" s="359" t="s">
        <v>130</v>
      </c>
      <c r="I12" s="161">
        <f>IF(H12="no",0,$E$12)</f>
        <v>0</v>
      </c>
      <c r="J12" s="159">
        <f>IF(H12="no",0,$F$12)</f>
        <v>0</v>
      </c>
      <c r="K12" s="160">
        <f>IF(H12="no",0,$G$12)</f>
        <v>0</v>
      </c>
      <c r="L12" s="570"/>
    </row>
    <row r="13" spans="1:12" ht="30" customHeight="1" x14ac:dyDescent="0.25">
      <c r="A13" s="569"/>
      <c r="B13" s="857"/>
      <c r="C13" s="854" t="s">
        <v>164</v>
      </c>
      <c r="D13" s="855"/>
      <c r="E13" s="337">
        <v>2.25</v>
      </c>
      <c r="F13" s="156">
        <v>1.5</v>
      </c>
      <c r="G13" s="156">
        <v>2.25</v>
      </c>
      <c r="H13" s="359" t="s">
        <v>130</v>
      </c>
      <c r="I13" s="155">
        <f>IF(H13="no",0,$E$13)</f>
        <v>0</v>
      </c>
      <c r="J13" s="156">
        <f>IF(H13="no",0,$F$13)</f>
        <v>0</v>
      </c>
      <c r="K13" s="157">
        <f>IF(H13="no",0,$G$13)</f>
        <v>0</v>
      </c>
      <c r="L13" s="570"/>
    </row>
    <row r="14" spans="1:12" ht="30" customHeight="1" x14ac:dyDescent="0.25">
      <c r="A14" s="569"/>
      <c r="B14" s="857"/>
      <c r="C14" s="854" t="s">
        <v>359</v>
      </c>
      <c r="D14" s="855"/>
      <c r="E14" s="337">
        <v>2.5</v>
      </c>
      <c r="F14" s="156">
        <v>2</v>
      </c>
      <c r="G14" s="156">
        <v>2.5</v>
      </c>
      <c r="H14" s="359" t="s">
        <v>130</v>
      </c>
      <c r="I14" s="155">
        <f>IF(H14="no",0,$E$14)</f>
        <v>0</v>
      </c>
      <c r="J14" s="156">
        <f>IF(H14="no",0,$F$14)</f>
        <v>0</v>
      </c>
      <c r="K14" s="157">
        <f>IF(H14="no",0,$G$14)</f>
        <v>0</v>
      </c>
      <c r="L14" s="570"/>
    </row>
    <row r="15" spans="1:12" ht="29.25" customHeight="1" x14ac:dyDescent="0.25">
      <c r="A15" s="569"/>
      <c r="B15" s="857"/>
      <c r="C15" s="854" t="s">
        <v>357</v>
      </c>
      <c r="D15" s="855"/>
      <c r="E15" s="337">
        <v>2.5</v>
      </c>
      <c r="F15" s="156">
        <v>1.75</v>
      </c>
      <c r="G15" s="156">
        <v>2.5</v>
      </c>
      <c r="H15" s="359" t="s">
        <v>130</v>
      </c>
      <c r="I15" s="155">
        <f>IF(H15="no",0,$E$15)</f>
        <v>0</v>
      </c>
      <c r="J15" s="156">
        <f>IF(H15="no",0,$F$15)</f>
        <v>0</v>
      </c>
      <c r="K15" s="157">
        <f>IF(H15="no",0,$G$15)</f>
        <v>0</v>
      </c>
      <c r="L15" s="570"/>
    </row>
    <row r="16" spans="1:12" ht="29.25" customHeight="1" x14ac:dyDescent="0.25">
      <c r="A16" s="569"/>
      <c r="B16" s="857"/>
      <c r="C16" s="854" t="s">
        <v>358</v>
      </c>
      <c r="D16" s="855"/>
      <c r="E16" s="337">
        <v>2.75</v>
      </c>
      <c r="F16" s="156">
        <v>2.25</v>
      </c>
      <c r="G16" s="156">
        <v>2.75</v>
      </c>
      <c r="H16" s="359" t="s">
        <v>130</v>
      </c>
      <c r="I16" s="161">
        <f>IF(H16="no",0,$E$16)</f>
        <v>0</v>
      </c>
      <c r="J16" s="159">
        <f>IF(H16="no",0,$F$16)</f>
        <v>0</v>
      </c>
      <c r="K16" s="160">
        <f>IF(H16="no",0,$G$16)</f>
        <v>0</v>
      </c>
      <c r="L16" s="570"/>
    </row>
    <row r="17" spans="1:12" ht="29.25" customHeight="1" x14ac:dyDescent="0.25">
      <c r="A17" s="569"/>
      <c r="B17" s="857"/>
      <c r="C17" s="863" t="s">
        <v>165</v>
      </c>
      <c r="D17" s="864"/>
      <c r="E17" s="338">
        <v>3</v>
      </c>
      <c r="F17" s="198">
        <v>2.5</v>
      </c>
      <c r="G17" s="198">
        <v>3</v>
      </c>
      <c r="H17" s="359" t="s">
        <v>130</v>
      </c>
      <c r="I17" s="161">
        <f>IF(H17="no",0,$E$17)</f>
        <v>0</v>
      </c>
      <c r="J17" s="159">
        <f>IF(H17="no",0,$F$17)</f>
        <v>0</v>
      </c>
      <c r="K17" s="160">
        <f>IF(H17="no",0,$G$17)</f>
        <v>0</v>
      </c>
      <c r="L17" s="570"/>
    </row>
    <row r="18" spans="1:12" ht="30" customHeight="1" thickBot="1" x14ac:dyDescent="0.3">
      <c r="A18" s="569"/>
      <c r="B18" s="857"/>
      <c r="C18" s="865" t="s">
        <v>166</v>
      </c>
      <c r="D18" s="866"/>
      <c r="E18" s="338">
        <v>3</v>
      </c>
      <c r="F18" s="198">
        <v>3</v>
      </c>
      <c r="G18" s="327">
        <v>3</v>
      </c>
      <c r="H18" s="360" t="s">
        <v>130</v>
      </c>
      <c r="I18" s="329">
        <f>IF(H18="no",0,$E$18)</f>
        <v>0</v>
      </c>
      <c r="J18" s="330">
        <f>IF(H18="no",0,$F$18)</f>
        <v>0</v>
      </c>
      <c r="K18" s="331">
        <f>IF(H18="no",0,$G$18)</f>
        <v>0</v>
      </c>
      <c r="L18" s="570"/>
    </row>
    <row r="19" spans="1:12" ht="53.25" customHeight="1" thickBot="1" x14ac:dyDescent="0.3">
      <c r="A19" s="569"/>
      <c r="B19" s="858"/>
      <c r="C19" s="791" t="s">
        <v>167</v>
      </c>
      <c r="D19" s="792"/>
      <c r="E19" s="792"/>
      <c r="F19" s="792"/>
      <c r="G19" s="792"/>
      <c r="H19" s="793"/>
      <c r="I19" s="162">
        <f>SUM(I8:I18)</f>
        <v>0</v>
      </c>
      <c r="J19" s="163">
        <f>SUM(J8:J18)</f>
        <v>0</v>
      </c>
      <c r="K19" s="164">
        <f>SUM(K8:K18)</f>
        <v>0</v>
      </c>
      <c r="L19" s="570"/>
    </row>
    <row r="20" spans="1:12" ht="15.75" thickBot="1" x14ac:dyDescent="0.3">
      <c r="A20" s="569"/>
      <c r="B20" s="498"/>
      <c r="C20" s="202"/>
      <c r="D20" s="202"/>
      <c r="E20" s="498"/>
      <c r="F20" s="498"/>
      <c r="G20" s="498"/>
      <c r="H20" s="498"/>
      <c r="I20" s="498"/>
      <c r="J20" s="202"/>
      <c r="K20" s="202"/>
      <c r="L20" s="570"/>
    </row>
    <row r="21" spans="1:12" ht="39.75" customHeight="1" thickBot="1" x14ac:dyDescent="0.3">
      <c r="A21" s="569"/>
      <c r="B21" s="826" t="s">
        <v>169</v>
      </c>
      <c r="C21" s="878" t="s">
        <v>170</v>
      </c>
      <c r="D21" s="875" t="s">
        <v>444</v>
      </c>
      <c r="E21" s="876"/>
      <c r="F21" s="876"/>
      <c r="G21" s="876"/>
      <c r="H21" s="877"/>
      <c r="I21" s="146" t="s">
        <v>120</v>
      </c>
      <c r="J21" s="147" t="s">
        <v>121</v>
      </c>
      <c r="K21" s="148" t="s">
        <v>122</v>
      </c>
      <c r="L21" s="570"/>
    </row>
    <row r="22" spans="1:12" ht="29.1" customHeight="1" x14ac:dyDescent="0.25">
      <c r="A22" s="569"/>
      <c r="B22" s="827"/>
      <c r="C22" s="879"/>
      <c r="D22" s="871" t="s">
        <v>172</v>
      </c>
      <c r="E22" s="871"/>
      <c r="F22" s="871"/>
      <c r="G22" s="203">
        <v>0.4</v>
      </c>
      <c r="H22" s="361" t="s">
        <v>130</v>
      </c>
      <c r="I22" s="158">
        <f>IF($H$22="no",0,I19*$G$22)</f>
        <v>0</v>
      </c>
      <c r="J22" s="159">
        <f>IF($H$22="no",0,J19*$G$22)</f>
        <v>0</v>
      </c>
      <c r="K22" s="160">
        <f>IF($H$22="no",0,K19*$G$22)</f>
        <v>0</v>
      </c>
      <c r="L22" s="570"/>
    </row>
    <row r="23" spans="1:12" ht="50.1" customHeight="1" x14ac:dyDescent="0.25">
      <c r="A23" s="569"/>
      <c r="B23" s="827"/>
      <c r="C23" s="879"/>
      <c r="D23" s="870" t="s">
        <v>361</v>
      </c>
      <c r="E23" s="870"/>
      <c r="F23" s="870"/>
      <c r="G23" s="203">
        <v>0.2</v>
      </c>
      <c r="H23" s="361" t="s">
        <v>130</v>
      </c>
      <c r="I23" s="161">
        <f>IF($H$23="no",0,I19*$G$23)</f>
        <v>0</v>
      </c>
      <c r="J23" s="159">
        <f>IF($H$23="no",0,J19*$G$23)</f>
        <v>0</v>
      </c>
      <c r="K23" s="160">
        <f>IF($H$23="no",0,K19*$G$23)</f>
        <v>0</v>
      </c>
      <c r="L23" s="570"/>
    </row>
    <row r="24" spans="1:12" ht="50.1" customHeight="1" x14ac:dyDescent="0.25">
      <c r="A24" s="569"/>
      <c r="B24" s="827"/>
      <c r="C24" s="879"/>
      <c r="D24" s="870" t="s">
        <v>362</v>
      </c>
      <c r="E24" s="870"/>
      <c r="F24" s="870"/>
      <c r="G24" s="203">
        <v>0.1</v>
      </c>
      <c r="H24" s="361" t="s">
        <v>130</v>
      </c>
      <c r="I24" s="161">
        <f>IF($H$24="no",0,I19*$G$24)</f>
        <v>0</v>
      </c>
      <c r="J24" s="159">
        <f>IF($H$24="no",0,J19*$G$24)</f>
        <v>0</v>
      </c>
      <c r="K24" s="160">
        <f>IF($H$24="no",0,K19*$G$24)</f>
        <v>0</v>
      </c>
      <c r="L24" s="570"/>
    </row>
    <row r="25" spans="1:12" ht="50.1" customHeight="1" thickBot="1" x14ac:dyDescent="0.3">
      <c r="A25" s="569"/>
      <c r="B25" s="827"/>
      <c r="C25" s="880"/>
      <c r="D25" s="870" t="s">
        <v>363</v>
      </c>
      <c r="E25" s="870"/>
      <c r="F25" s="870"/>
      <c r="G25" s="340">
        <v>0</v>
      </c>
      <c r="H25" s="362" t="s">
        <v>130</v>
      </c>
      <c r="I25" s="329">
        <f>IF($H$25="no",0,I19*$G$25)</f>
        <v>0</v>
      </c>
      <c r="J25" s="330">
        <f>IF($H$25="no",0,J19*$G$25)</f>
        <v>0</v>
      </c>
      <c r="K25" s="331">
        <f>IF($H$25="no",0,K19*$G$25)</f>
        <v>0</v>
      </c>
      <c r="L25" s="570"/>
    </row>
    <row r="26" spans="1:12" ht="33.75" customHeight="1" x14ac:dyDescent="0.25">
      <c r="A26" s="569"/>
      <c r="B26" s="827"/>
      <c r="C26" s="872" t="s">
        <v>171</v>
      </c>
      <c r="D26" s="875" t="s">
        <v>445</v>
      </c>
      <c r="E26" s="876"/>
      <c r="F26" s="876"/>
      <c r="G26" s="876"/>
      <c r="H26" s="877"/>
      <c r="I26" s="321"/>
      <c r="J26" s="341"/>
      <c r="K26" s="323"/>
      <c r="L26" s="570"/>
    </row>
    <row r="27" spans="1:12" ht="28.35" customHeight="1" x14ac:dyDescent="0.25">
      <c r="A27" s="569"/>
      <c r="B27" s="827"/>
      <c r="C27" s="873"/>
      <c r="D27" s="881" t="s">
        <v>172</v>
      </c>
      <c r="E27" s="882"/>
      <c r="F27" s="883"/>
      <c r="G27" s="342">
        <v>0.4</v>
      </c>
      <c r="H27" s="363" t="s">
        <v>130</v>
      </c>
      <c r="I27" s="158">
        <f>IF($H$27="no",0,I19*$G$27)</f>
        <v>0</v>
      </c>
      <c r="J27" s="168">
        <f>IF($H$27="no",0,J19*$G$27)</f>
        <v>0</v>
      </c>
      <c r="K27" s="169">
        <f>IF($H$27="no",0,K19*$G$27)</f>
        <v>0</v>
      </c>
      <c r="L27" s="570"/>
    </row>
    <row r="28" spans="1:12" ht="42.75" customHeight="1" x14ac:dyDescent="0.25">
      <c r="A28" s="569"/>
      <c r="B28" s="827"/>
      <c r="C28" s="873"/>
      <c r="D28" s="884" t="s">
        <v>173</v>
      </c>
      <c r="E28" s="885"/>
      <c r="F28" s="886"/>
      <c r="G28" s="203">
        <v>0.2</v>
      </c>
      <c r="H28" s="361" t="s">
        <v>130</v>
      </c>
      <c r="I28" s="161">
        <f>IF($H$28="no",0,I19*$G$28)</f>
        <v>0</v>
      </c>
      <c r="J28" s="159">
        <f>IF($H$28="no",0,J19*$G$28)</f>
        <v>0</v>
      </c>
      <c r="K28" s="160">
        <f>IF($H$28="no",0,K19*$G$28)</f>
        <v>0</v>
      </c>
      <c r="L28" s="570"/>
    </row>
    <row r="29" spans="1:12" ht="45" customHeight="1" x14ac:dyDescent="0.25">
      <c r="A29" s="569"/>
      <c r="B29" s="827"/>
      <c r="C29" s="873"/>
      <c r="D29" s="884" t="s">
        <v>174</v>
      </c>
      <c r="E29" s="885"/>
      <c r="F29" s="886"/>
      <c r="G29" s="203">
        <v>0</v>
      </c>
      <c r="H29" s="361" t="s">
        <v>130</v>
      </c>
      <c r="I29" s="161">
        <f>IF($H$29="no",0,I19*$G$29)</f>
        <v>0</v>
      </c>
      <c r="J29" s="159">
        <f>IF($H$29="no",0,J19*$G$29)</f>
        <v>0</v>
      </c>
      <c r="K29" s="160">
        <f>IF($H$29="no",0,K19*$G$29)</f>
        <v>0</v>
      </c>
      <c r="L29" s="570"/>
    </row>
    <row r="30" spans="1:12" ht="39" customHeight="1" x14ac:dyDescent="0.25">
      <c r="A30" s="569"/>
      <c r="B30" s="827"/>
      <c r="C30" s="873"/>
      <c r="D30" s="884" t="s">
        <v>364</v>
      </c>
      <c r="E30" s="885"/>
      <c r="F30" s="886"/>
      <c r="G30" s="203">
        <v>0.2</v>
      </c>
      <c r="H30" s="361" t="s">
        <v>130</v>
      </c>
      <c r="I30" s="161">
        <f>IF($H$30="no",0,I19*$G$30)</f>
        <v>0</v>
      </c>
      <c r="J30" s="159">
        <f>IF($H$30="no",0,J19*$G$30)</f>
        <v>0</v>
      </c>
      <c r="K30" s="160">
        <f>IF($H$30="no",0,K19*$G$30)</f>
        <v>0</v>
      </c>
      <c r="L30" s="570"/>
    </row>
    <row r="31" spans="1:12" ht="36.75" customHeight="1" thickBot="1" x14ac:dyDescent="0.3">
      <c r="A31" s="569"/>
      <c r="B31" s="828"/>
      <c r="C31" s="874"/>
      <c r="D31" s="884" t="s">
        <v>177</v>
      </c>
      <c r="E31" s="885"/>
      <c r="F31" s="886"/>
      <c r="G31" s="340">
        <v>0</v>
      </c>
      <c r="H31" s="362" t="s">
        <v>130</v>
      </c>
      <c r="I31" s="329">
        <f>IF($H$31="no",0,I19*$G$31)</f>
        <v>0</v>
      </c>
      <c r="J31" s="330">
        <f>IF($H$31="no",0,J19*$G$31)</f>
        <v>0</v>
      </c>
      <c r="K31" s="331">
        <f>IF($H$31="no",0,K19*$G$31)</f>
        <v>0</v>
      </c>
      <c r="L31" s="570"/>
    </row>
    <row r="32" spans="1:12" ht="15.75" thickBot="1" x14ac:dyDescent="0.3">
      <c r="A32" s="569"/>
      <c r="B32" s="587"/>
      <c r="C32" s="303"/>
      <c r="D32" s="303"/>
      <c r="E32" s="587"/>
      <c r="F32" s="587"/>
      <c r="G32" s="587"/>
      <c r="H32" s="587"/>
      <c r="I32" s="587"/>
      <c r="J32" s="303"/>
      <c r="K32" s="303"/>
      <c r="L32" s="570"/>
    </row>
    <row r="33" spans="1:12" ht="60" customHeight="1" thickBot="1" x14ac:dyDescent="0.3">
      <c r="A33" s="569"/>
      <c r="B33" s="867" t="s">
        <v>176</v>
      </c>
      <c r="C33" s="868"/>
      <c r="D33" s="868"/>
      <c r="E33" s="868"/>
      <c r="F33" s="868"/>
      <c r="G33" s="868"/>
      <c r="H33" s="869"/>
      <c r="I33" s="447">
        <f>I19-SUM(I22:I31)</f>
        <v>0</v>
      </c>
      <c r="J33" s="163">
        <f t="shared" ref="J33" si="0">J19-SUM(J22:J31)</f>
        <v>0</v>
      </c>
      <c r="K33" s="164">
        <f>K19-SUM(K22:K31)</f>
        <v>0</v>
      </c>
      <c r="L33" s="570"/>
    </row>
    <row r="34" spans="1:12" x14ac:dyDescent="0.25">
      <c r="A34" s="569"/>
      <c r="B34" s="574"/>
      <c r="C34" s="573"/>
      <c r="D34" s="573"/>
      <c r="E34" s="574"/>
      <c r="F34" s="574"/>
      <c r="G34" s="574"/>
      <c r="H34" s="574"/>
      <c r="I34" s="574"/>
      <c r="J34" s="573"/>
      <c r="K34" s="573"/>
      <c r="L34" s="570"/>
    </row>
    <row r="35" spans="1:12" x14ac:dyDescent="0.25">
      <c r="A35" s="569"/>
      <c r="B35" s="574"/>
      <c r="C35" s="573"/>
      <c r="D35" s="573"/>
      <c r="E35" s="574"/>
      <c r="F35" s="574"/>
      <c r="G35" s="574"/>
      <c r="H35" s="574"/>
      <c r="I35" s="574"/>
      <c r="J35" s="573"/>
      <c r="K35" s="573"/>
      <c r="L35" s="570"/>
    </row>
    <row r="36" spans="1:12" x14ac:dyDescent="0.25">
      <c r="A36" s="576"/>
      <c r="B36" s="578"/>
      <c r="C36" s="577"/>
      <c r="D36" s="577"/>
      <c r="E36" s="578"/>
      <c r="F36" s="578"/>
      <c r="G36" s="578"/>
      <c r="H36" s="578"/>
      <c r="I36" s="578"/>
      <c r="J36" s="577"/>
      <c r="K36" s="577"/>
      <c r="L36" s="580"/>
    </row>
    <row r="37" spans="1:12" x14ac:dyDescent="0.25">
      <c r="L37" s="284"/>
    </row>
    <row r="38" spans="1:12" x14ac:dyDescent="0.25">
      <c r="L38" s="284"/>
    </row>
  </sheetData>
  <sheetProtection algorithmName="SHA-512" hashValue="AEeG5UFDtQvsthaVp/Rec5f4CgFHOlv/2pkHbINH9Y9/M65m3E/Tl+8vn17Hh90wGhot0mL08oX+1/RXzs3+SA==" saltValue="NmHIhBgMhVu+FL/+v+9w1A==" spinCount="100000" sheet="1" selectLockedCells="1"/>
  <protectedRanges>
    <protectedRange sqref="H27:H31" name="Range3"/>
    <protectedRange sqref="H22:H25" name="Range2"/>
    <protectedRange sqref="H8:H18" name="Range1"/>
  </protectedRanges>
  <mergeCells count="33">
    <mergeCell ref="B5:K5"/>
    <mergeCell ref="D28:F28"/>
    <mergeCell ref="D29:F29"/>
    <mergeCell ref="C15:D15"/>
    <mergeCell ref="B2:C2"/>
    <mergeCell ref="B3:C3"/>
    <mergeCell ref="B6:D6"/>
    <mergeCell ref="B7:D7"/>
    <mergeCell ref="B8:B19"/>
    <mergeCell ref="C8:D8"/>
    <mergeCell ref="C9:D9"/>
    <mergeCell ref="C10:D10"/>
    <mergeCell ref="C11:D11"/>
    <mergeCell ref="C12:D12"/>
    <mergeCell ref="C13:D13"/>
    <mergeCell ref="C14:D14"/>
    <mergeCell ref="C16:D16"/>
    <mergeCell ref="D30:F30"/>
    <mergeCell ref="C18:D18"/>
    <mergeCell ref="D31:F31"/>
    <mergeCell ref="C17:D17"/>
    <mergeCell ref="B33:H33"/>
    <mergeCell ref="C19:H19"/>
    <mergeCell ref="B21:B31"/>
    <mergeCell ref="C21:C25"/>
    <mergeCell ref="D21:H21"/>
    <mergeCell ref="D22:F22"/>
    <mergeCell ref="D23:F23"/>
    <mergeCell ref="D24:F24"/>
    <mergeCell ref="D25:F25"/>
    <mergeCell ref="C26:C31"/>
    <mergeCell ref="D26:H26"/>
    <mergeCell ref="D27:F27"/>
  </mergeCells>
  <printOptions horizontalCentered="1" verticalCentered="1"/>
  <pageMargins left="0.78740157480314965" right="0.78740157480314965" top="1.1811023622047245" bottom="0.78740157480314965" header="0" footer="0"/>
  <pageSetup paperSize="9" scale="58" orientation="landscape"/>
  <headerFooter>
    <oddHeader>&amp;L&amp;"Times New Roman,Halvfet"&amp;16Microbial barrier analysis (MBA)
Operational tool&amp;C&amp;"Times New Roman,Halvfet"&amp;16&amp;A&amp;R&amp;"Times New Roman,Halvfet"&amp;16Page &amp;P of &amp;N
&amp;D</oddHeader>
  </headerFooter>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key!$A$2:$A$3</xm:f>
          </x14:formula1>
          <xm:sqref>H8:H18 H22:H25 H27:H31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R63"/>
  <sheetViews>
    <sheetView topLeftCell="A4" zoomScale="96" zoomScaleNormal="96" zoomScalePageLayoutView="125" workbookViewId="0">
      <selection activeCell="F22" sqref="F22"/>
    </sheetView>
  </sheetViews>
  <sheetFormatPr baseColWidth="10" defaultColWidth="11.42578125" defaultRowHeight="15" x14ac:dyDescent="0.25"/>
  <cols>
    <col min="1" max="1" width="2.42578125" style="54" customWidth="1"/>
    <col min="2" max="2" width="7.140625" style="54" customWidth="1"/>
    <col min="3" max="3" width="45.42578125" style="54" customWidth="1"/>
    <col min="4" max="4" width="12.140625" style="54" customWidth="1"/>
    <col min="5" max="5" width="13.28515625" style="54" customWidth="1"/>
    <col min="6" max="6" width="14.28515625" style="54" customWidth="1"/>
    <col min="7" max="7" width="12.140625" style="54" customWidth="1"/>
    <col min="8" max="9" width="12.42578125" style="54" customWidth="1"/>
    <col min="10" max="10" width="12.140625" style="54" customWidth="1"/>
    <col min="11" max="11" width="12" style="455" customWidth="1"/>
    <col min="12" max="13" width="11.42578125" style="455"/>
    <col min="14" max="16384" width="11.42578125" style="54"/>
  </cols>
  <sheetData>
    <row r="1" spans="1:14" ht="15.75" thickBot="1" x14ac:dyDescent="0.3">
      <c r="A1" s="544"/>
      <c r="B1" s="545"/>
      <c r="C1" s="545"/>
      <c r="D1" s="545"/>
      <c r="E1" s="545"/>
      <c r="F1" s="545"/>
      <c r="G1" s="545"/>
      <c r="H1" s="545"/>
      <c r="I1" s="545"/>
      <c r="J1" s="545"/>
      <c r="K1" s="545"/>
      <c r="L1" s="545"/>
      <c r="M1" s="545"/>
      <c r="N1" s="559"/>
    </row>
    <row r="2" spans="1:14" ht="30" customHeight="1" x14ac:dyDescent="0.25">
      <c r="A2" s="592"/>
      <c r="B2" s="799" t="str">
        <f>'Lakes and catchment areas'!B2</f>
        <v>Owner of water treatment plant:</v>
      </c>
      <c r="C2" s="933"/>
      <c r="D2" s="947" t="str">
        <f>'Lakes and catchment areas'!D2</f>
        <v>BB</v>
      </c>
      <c r="E2" s="948"/>
      <c r="F2" s="948"/>
      <c r="G2" s="949"/>
      <c r="H2" s="202"/>
      <c r="I2" s="202"/>
      <c r="J2" s="202"/>
      <c r="K2" s="281"/>
      <c r="L2" s="281"/>
      <c r="M2" s="281"/>
      <c r="N2" s="593"/>
    </row>
    <row r="3" spans="1:14" ht="30.75" customHeight="1" thickBot="1" x14ac:dyDescent="0.3">
      <c r="A3" s="592"/>
      <c r="B3" s="801" t="str">
        <f>'Lakes and catchment areas'!B3</f>
        <v>Name of the water treatment plant:</v>
      </c>
      <c r="C3" s="934"/>
      <c r="D3" s="944" t="str">
        <f>'Lakes and catchment areas'!D3</f>
        <v>VV</v>
      </c>
      <c r="E3" s="945"/>
      <c r="F3" s="945"/>
      <c r="G3" s="946"/>
      <c r="H3" s="202"/>
      <c r="I3" s="202"/>
      <c r="J3" s="202"/>
      <c r="K3" s="281"/>
      <c r="L3" s="281"/>
      <c r="M3" s="281"/>
      <c r="N3" s="593"/>
    </row>
    <row r="4" spans="1:14" ht="19.5" customHeight="1" thickBot="1" x14ac:dyDescent="0.3">
      <c r="A4" s="592"/>
      <c r="B4" s="302"/>
      <c r="C4" s="302"/>
      <c r="D4" s="302"/>
      <c r="E4" s="302"/>
      <c r="F4" s="302"/>
      <c r="G4" s="302"/>
      <c r="H4" s="302"/>
      <c r="I4" s="202"/>
      <c r="J4" s="202"/>
      <c r="K4" s="281"/>
      <c r="L4" s="281"/>
      <c r="M4" s="281"/>
      <c r="N4" s="593"/>
    </row>
    <row r="5" spans="1:14" ht="30.75" customHeight="1" thickBot="1" x14ac:dyDescent="0.3">
      <c r="A5" s="592"/>
      <c r="B5" s="941" t="s">
        <v>234</v>
      </c>
      <c r="C5" s="942"/>
      <c r="D5" s="942"/>
      <c r="E5" s="942"/>
      <c r="F5" s="942"/>
      <c r="G5" s="943"/>
      <c r="H5" s="202"/>
      <c r="I5" s="202"/>
      <c r="J5" s="202"/>
      <c r="K5" s="281"/>
      <c r="L5" s="281"/>
      <c r="M5" s="281"/>
      <c r="N5" s="593"/>
    </row>
    <row r="6" spans="1:14" ht="18.75" customHeight="1" thickBot="1" x14ac:dyDescent="0.3">
      <c r="A6" s="592"/>
      <c r="B6" s="950"/>
      <c r="C6" s="950"/>
      <c r="D6" s="950"/>
      <c r="E6" s="950"/>
      <c r="F6" s="950"/>
      <c r="G6" s="950"/>
      <c r="H6" s="202"/>
      <c r="I6" s="202"/>
      <c r="J6" s="202"/>
      <c r="K6" s="281"/>
      <c r="L6" s="281"/>
      <c r="M6" s="281"/>
      <c r="N6" s="593"/>
    </row>
    <row r="7" spans="1:14" ht="45" x14ac:dyDescent="0.25">
      <c r="A7" s="592"/>
      <c r="B7" s="935" t="s">
        <v>233</v>
      </c>
      <c r="C7" s="936"/>
      <c r="D7" s="643" t="s">
        <v>120</v>
      </c>
      <c r="E7" s="499" t="s">
        <v>366</v>
      </c>
      <c r="F7" s="505" t="s">
        <v>178</v>
      </c>
      <c r="G7" s="339" t="s">
        <v>122</v>
      </c>
      <c r="H7" s="280"/>
      <c r="I7" s="74"/>
      <c r="J7" s="280"/>
      <c r="K7" s="482"/>
      <c r="L7" s="281"/>
      <c r="M7" s="281"/>
      <c r="N7" s="593"/>
    </row>
    <row r="8" spans="1:14" ht="27" customHeight="1" x14ac:dyDescent="0.25">
      <c r="A8" s="592"/>
      <c r="B8" s="937" t="s">
        <v>201</v>
      </c>
      <c r="C8" s="938"/>
      <c r="D8" s="651">
        <v>4</v>
      </c>
      <c r="E8" s="204">
        <v>3.5</v>
      </c>
      <c r="F8" s="204">
        <v>1.25</v>
      </c>
      <c r="G8" s="648">
        <v>4</v>
      </c>
      <c r="H8" s="208"/>
      <c r="I8" s="74"/>
      <c r="J8" s="209"/>
      <c r="K8" s="482"/>
      <c r="L8" s="281"/>
      <c r="M8" s="281"/>
      <c r="N8" s="593"/>
    </row>
    <row r="9" spans="1:14" ht="27" customHeight="1" thickBot="1" x14ac:dyDescent="0.3">
      <c r="A9" s="592"/>
      <c r="B9" s="939" t="s">
        <v>210</v>
      </c>
      <c r="C9" s="940"/>
      <c r="D9" s="356">
        <v>3</v>
      </c>
      <c r="E9" s="205">
        <v>2.5</v>
      </c>
      <c r="F9" s="205">
        <v>0.75</v>
      </c>
      <c r="G9" s="206">
        <v>3</v>
      </c>
      <c r="H9" s="208"/>
      <c r="I9" s="74"/>
      <c r="J9" s="209"/>
      <c r="K9" s="482"/>
      <c r="L9" s="281"/>
      <c r="M9" s="281"/>
      <c r="N9" s="593"/>
    </row>
    <row r="10" spans="1:14" ht="13.5" customHeight="1" thickBot="1" x14ac:dyDescent="0.3">
      <c r="A10" s="592"/>
      <c r="B10" s="210"/>
      <c r="C10" s="207"/>
      <c r="D10" s="208"/>
      <c r="E10" s="209"/>
      <c r="F10" s="209"/>
      <c r="G10" s="209"/>
      <c r="H10" s="208"/>
      <c r="I10" s="74"/>
      <c r="J10" s="209"/>
      <c r="K10" s="482"/>
      <c r="L10" s="281"/>
      <c r="M10" s="281"/>
      <c r="N10" s="593"/>
    </row>
    <row r="11" spans="1:14" ht="45" customHeight="1" x14ac:dyDescent="0.25">
      <c r="A11" s="592"/>
      <c r="B11" s="935" t="s">
        <v>365</v>
      </c>
      <c r="C11" s="936"/>
      <c r="D11" s="643" t="s">
        <v>120</v>
      </c>
      <c r="E11" s="670" t="s">
        <v>366</v>
      </c>
      <c r="F11" s="644" t="s">
        <v>178</v>
      </c>
      <c r="G11" s="339" t="s">
        <v>122</v>
      </c>
      <c r="H11" s="304"/>
      <c r="I11" s="74"/>
      <c r="J11" s="304"/>
      <c r="K11" s="482"/>
      <c r="L11" s="281"/>
      <c r="M11" s="281"/>
      <c r="N11" s="593"/>
    </row>
    <row r="12" spans="1:14" ht="27" customHeight="1" x14ac:dyDescent="0.25">
      <c r="A12" s="592"/>
      <c r="B12" s="951" t="s">
        <v>211</v>
      </c>
      <c r="C12" s="952"/>
      <c r="D12" s="650">
        <v>3.5</v>
      </c>
      <c r="E12" s="233">
        <v>3</v>
      </c>
      <c r="F12" s="233">
        <v>1</v>
      </c>
      <c r="G12" s="649">
        <v>3.5</v>
      </c>
      <c r="H12" s="305"/>
      <c r="I12" s="74"/>
      <c r="J12" s="306"/>
      <c r="K12" s="482"/>
      <c r="L12" s="281"/>
      <c r="M12" s="281"/>
      <c r="N12" s="593"/>
    </row>
    <row r="13" spans="1:14" ht="27" customHeight="1" thickBot="1" x14ac:dyDescent="0.3">
      <c r="A13" s="592"/>
      <c r="B13" s="953" t="s">
        <v>212</v>
      </c>
      <c r="C13" s="954"/>
      <c r="D13" s="357">
        <v>3</v>
      </c>
      <c r="E13" s="235">
        <v>2.5</v>
      </c>
      <c r="F13" s="235">
        <v>0.75</v>
      </c>
      <c r="G13" s="236">
        <v>3</v>
      </c>
      <c r="H13" s="305"/>
      <c r="I13" s="74"/>
      <c r="J13" s="306"/>
      <c r="K13" s="482"/>
      <c r="L13" s="281"/>
      <c r="M13" s="281"/>
      <c r="N13" s="593"/>
    </row>
    <row r="14" spans="1:14" ht="18.75" thickBot="1" x14ac:dyDescent="0.3">
      <c r="A14" s="592"/>
      <c r="B14" s="210"/>
      <c r="C14" s="207"/>
      <c r="D14" s="208"/>
      <c r="E14" s="209"/>
      <c r="F14" s="209"/>
      <c r="G14" s="208"/>
      <c r="H14" s="209"/>
      <c r="I14" s="209"/>
      <c r="J14" s="202"/>
      <c r="K14" s="281"/>
      <c r="L14" s="281"/>
      <c r="M14" s="281"/>
      <c r="N14" s="593"/>
    </row>
    <row r="15" spans="1:14" s="56" customFormat="1" ht="69.75" customHeight="1" x14ac:dyDescent="0.25">
      <c r="A15" s="592"/>
      <c r="B15" s="899" t="s">
        <v>213</v>
      </c>
      <c r="C15" s="901"/>
      <c r="D15" s="643" t="s">
        <v>120</v>
      </c>
      <c r="E15" s="670" t="s">
        <v>366</v>
      </c>
      <c r="F15" s="644" t="s">
        <v>178</v>
      </c>
      <c r="G15" s="339" t="s">
        <v>122</v>
      </c>
      <c r="H15" s="209"/>
      <c r="I15" s="202"/>
      <c r="J15" s="202"/>
      <c r="K15" s="281"/>
      <c r="L15" s="281"/>
      <c r="M15" s="281"/>
      <c r="N15" s="593"/>
    </row>
    <row r="16" spans="1:14" s="56" customFormat="1" ht="34.5" customHeight="1" thickBot="1" x14ac:dyDescent="0.3">
      <c r="A16" s="592"/>
      <c r="B16" s="955" t="s">
        <v>384</v>
      </c>
      <c r="C16" s="956"/>
      <c r="D16" s="652">
        <f>IF($B$16="","",IF($B$16="Velg kategori","",VLOOKUP($B$16,key!$A$6:$B$16,2,FALSE)))</f>
        <v>0</v>
      </c>
      <c r="E16" s="139">
        <f>IF(B16="40 mJ/cm2 biodosimetrisk basert på Adenovirus","",IF(B16="30 mJ/cm2 gjennomsnittsdose basert på Adenovirus","",IF(B16="25 mJ/cm2 veggdose basert på Adenovirus","",IF($B$16="","",IF($B$16="Velg kategori","",VLOOKUP($B$16,key!$C$6:$D$15,2,FALSE))))))</f>
        <v>0</v>
      </c>
      <c r="F16" s="139">
        <f>IF(B16="40 mJ/cm2 biodosimetrisk eks. Adenovirus","",IF(B16="30 mJ/cm2 gjennomsnittsdose eks. Adenovirus","",IF(B16="25 mJ/cm2 veggdose eks. Adenovirus","",IF($B$16="","",IF($B$16="Velg kategori","",VLOOKUP($B$16,key!$C$6:$D$16,2,FALSE))))))</f>
        <v>0</v>
      </c>
      <c r="G16" s="653">
        <f>IF($B$16="","",IF($B$16="Velg kategori","",VLOOKUP($B$16,key!$E$6:$F$16,2,FALSE)))</f>
        <v>0</v>
      </c>
      <c r="H16" s="209"/>
      <c r="I16" s="202"/>
      <c r="J16" s="202"/>
      <c r="K16" s="281"/>
      <c r="L16" s="281"/>
      <c r="M16" s="281"/>
      <c r="N16" s="593"/>
    </row>
    <row r="17" spans="1:14" s="56" customFormat="1" ht="30.75" customHeight="1" thickBot="1" x14ac:dyDescent="0.3">
      <c r="A17" s="592"/>
      <c r="B17" s="210"/>
      <c r="C17" s="207"/>
      <c r="D17" s="202"/>
      <c r="E17" s="202"/>
      <c r="F17" s="202"/>
      <c r="G17" s="209"/>
      <c r="H17" s="209"/>
      <c r="I17" s="202"/>
      <c r="J17" s="202"/>
      <c r="K17" s="281"/>
      <c r="L17" s="281"/>
      <c r="M17" s="281"/>
      <c r="N17" s="593"/>
    </row>
    <row r="18" spans="1:14" ht="60" customHeight="1" thickBot="1" x14ac:dyDescent="0.3">
      <c r="A18" s="592"/>
      <c r="B18" s="770" t="s">
        <v>451</v>
      </c>
      <c r="C18" s="957"/>
      <c r="D18" s="957"/>
      <c r="E18" s="957"/>
      <c r="F18" s="957"/>
      <c r="G18" s="957"/>
      <c r="H18" s="957"/>
      <c r="I18" s="957"/>
      <c r="J18" s="957"/>
      <c r="K18" s="957"/>
      <c r="L18" s="957"/>
      <c r="M18" s="958"/>
      <c r="N18" s="594"/>
    </row>
    <row r="19" spans="1:14" ht="18" customHeight="1" thickBot="1" x14ac:dyDescent="0.3">
      <c r="A19" s="960"/>
      <c r="B19" s="961"/>
      <c r="C19" s="961"/>
      <c r="D19" s="961"/>
      <c r="E19" s="961"/>
      <c r="F19" s="961"/>
      <c r="G19" s="961"/>
      <c r="H19" s="961"/>
      <c r="I19" s="961"/>
      <c r="J19" s="961"/>
      <c r="K19" s="961"/>
      <c r="L19" s="961"/>
      <c r="M19" s="961"/>
      <c r="N19" s="962"/>
    </row>
    <row r="20" spans="1:14" ht="57.75" customHeight="1" thickBot="1" x14ac:dyDescent="0.3">
      <c r="A20" s="592"/>
      <c r="B20" s="212" t="s">
        <v>12</v>
      </c>
      <c r="C20" s="930" t="s">
        <v>367</v>
      </c>
      <c r="D20" s="771"/>
      <c r="E20" s="959"/>
      <c r="F20" s="372" t="s">
        <v>128</v>
      </c>
      <c r="G20" s="296" t="s">
        <v>283</v>
      </c>
      <c r="H20" s="146" t="s">
        <v>120</v>
      </c>
      <c r="I20" s="147" t="s">
        <v>121</v>
      </c>
      <c r="J20" s="148" t="s">
        <v>122</v>
      </c>
      <c r="K20" s="146" t="s">
        <v>120</v>
      </c>
      <c r="L20" s="147" t="s">
        <v>121</v>
      </c>
      <c r="M20" s="148" t="s">
        <v>122</v>
      </c>
      <c r="N20" s="593"/>
    </row>
    <row r="21" spans="1:14" ht="29.25" customHeight="1" x14ac:dyDescent="0.25">
      <c r="A21" s="592"/>
      <c r="B21" s="374"/>
      <c r="C21" s="931" t="s">
        <v>214</v>
      </c>
      <c r="D21" s="932"/>
      <c r="E21" s="375">
        <v>0.1</v>
      </c>
      <c r="F21" s="647"/>
      <c r="G21" s="56"/>
      <c r="H21" s="483">
        <f>D16</f>
        <v>0</v>
      </c>
      <c r="I21" s="231">
        <f>IF($E$16="",$F$16,$E$16)</f>
        <v>0</v>
      </c>
      <c r="J21" s="232">
        <f>G16</f>
        <v>0</v>
      </c>
      <c r="K21" s="483">
        <f>-$E$21*H21</f>
        <v>0</v>
      </c>
      <c r="L21" s="448">
        <f>-$E$21*I21</f>
        <v>0</v>
      </c>
      <c r="M21" s="484">
        <f>-$E$21*J21</f>
        <v>0</v>
      </c>
      <c r="N21" s="593"/>
    </row>
    <row r="22" spans="1:14" ht="36.75" customHeight="1" x14ac:dyDescent="0.25">
      <c r="A22" s="592"/>
      <c r="B22" s="492" t="s">
        <v>13</v>
      </c>
      <c r="C22" s="892" t="s">
        <v>215</v>
      </c>
      <c r="D22" s="893"/>
      <c r="E22" s="217">
        <v>0.1</v>
      </c>
      <c r="F22" s="376" t="s">
        <v>130</v>
      </c>
      <c r="G22" s="377">
        <f>IF(F22="no",0,E22)</f>
        <v>0</v>
      </c>
      <c r="H22" s="919"/>
      <c r="I22" s="920"/>
      <c r="J22" s="921"/>
      <c r="K22" s="485">
        <f>G22*$H$21</f>
        <v>0</v>
      </c>
      <c r="L22" s="449">
        <f>G22*$I$21</f>
        <v>0</v>
      </c>
      <c r="M22" s="486">
        <f>G22*$J$21</f>
        <v>0</v>
      </c>
      <c r="N22" s="593"/>
    </row>
    <row r="23" spans="1:14" ht="36" customHeight="1" x14ac:dyDescent="0.25">
      <c r="A23" s="592"/>
      <c r="B23" s="492" t="s">
        <v>14</v>
      </c>
      <c r="C23" s="892" t="s">
        <v>216</v>
      </c>
      <c r="D23" s="893"/>
      <c r="E23" s="217">
        <v>0.05</v>
      </c>
      <c r="F23" s="376" t="s">
        <v>130</v>
      </c>
      <c r="G23" s="377">
        <f>IF(F23="no",0,E23)</f>
        <v>0</v>
      </c>
      <c r="H23" s="922"/>
      <c r="I23" s="923"/>
      <c r="J23" s="924"/>
      <c r="K23" s="485">
        <f>G23*$H$21</f>
        <v>0</v>
      </c>
      <c r="L23" s="449">
        <f>G23*$I$21</f>
        <v>0</v>
      </c>
      <c r="M23" s="486">
        <f>G23*$J$21</f>
        <v>0</v>
      </c>
      <c r="N23" s="593"/>
    </row>
    <row r="24" spans="1:14" ht="31.5" customHeight="1" thickBot="1" x14ac:dyDescent="0.3">
      <c r="A24" s="592"/>
      <c r="B24" s="493"/>
      <c r="C24" s="240" t="s">
        <v>206</v>
      </c>
      <c r="D24" s="241"/>
      <c r="E24" s="241"/>
      <c r="F24" s="241"/>
      <c r="G24" s="242"/>
      <c r="H24" s="242"/>
      <c r="I24" s="242"/>
      <c r="J24" s="243"/>
      <c r="K24" s="487">
        <f>IF(SUM($G$22:$G$23)=0%,K21,IF(SUM($G$22:$G$23)=5%,K21+H21*$E$23,IF(SUM($G$22:$G$23)=10%,K21+H21*$E$22,0)))</f>
        <v>0</v>
      </c>
      <c r="L24" s="450">
        <f>IF(SUM($G$22:$G$23)=0%,L21,IF(SUM($G$22:$G$23)=5%,L21+I21*$E$23,IF(SUM($G$22:$G$23)=10%,L21+I21*$E$22,0)))</f>
        <v>0</v>
      </c>
      <c r="M24" s="488">
        <f>IF(SUM($G$22:$G$23)=0%,M21,IF(SUM($G$22:$G$23)=5%,M21+J21*$G$23,IF(SUM($G$22:$G$23)=10%,M21+J21*$G$22,0)))</f>
        <v>0</v>
      </c>
      <c r="N24" s="593"/>
    </row>
    <row r="25" spans="1:14" ht="20.25" customHeight="1" thickBot="1" x14ac:dyDescent="0.3">
      <c r="A25" s="592"/>
      <c r="B25" s="202"/>
      <c r="C25" s="291"/>
      <c r="D25" s="291"/>
      <c r="E25" s="214"/>
      <c r="F25" s="215"/>
      <c r="G25" s="216"/>
      <c r="H25" s="202"/>
      <c r="I25" s="202"/>
      <c r="J25" s="202"/>
      <c r="K25" s="595"/>
      <c r="L25" s="595"/>
      <c r="M25" s="595"/>
      <c r="N25" s="593"/>
    </row>
    <row r="26" spans="1:14" ht="31.5" customHeight="1" thickBot="1" x14ac:dyDescent="0.3">
      <c r="A26" s="592"/>
      <c r="B26" s="212" t="s">
        <v>15</v>
      </c>
      <c r="C26" s="930" t="s">
        <v>368</v>
      </c>
      <c r="D26" s="771"/>
      <c r="E26" s="771"/>
      <c r="F26" s="771"/>
      <c r="G26" s="772"/>
      <c r="H26" s="146" t="s">
        <v>120</v>
      </c>
      <c r="I26" s="147" t="s">
        <v>121</v>
      </c>
      <c r="J26" s="148" t="s">
        <v>122</v>
      </c>
      <c r="K26" s="146" t="s">
        <v>120</v>
      </c>
      <c r="L26" s="147" t="s">
        <v>121</v>
      </c>
      <c r="M26" s="148" t="s">
        <v>122</v>
      </c>
      <c r="N26" s="593"/>
    </row>
    <row r="27" spans="1:14" ht="29.25" customHeight="1" x14ac:dyDescent="0.25">
      <c r="A27" s="592"/>
      <c r="B27" s="374"/>
      <c r="C27" s="931" t="s">
        <v>214</v>
      </c>
      <c r="D27" s="932"/>
      <c r="E27" s="375">
        <v>0.2</v>
      </c>
      <c r="F27" s="244"/>
      <c r="G27" s="56"/>
      <c r="H27" s="483">
        <f>D16</f>
        <v>0</v>
      </c>
      <c r="I27" s="231">
        <f>IF($E$16="",$F$16,$E$16)</f>
        <v>0</v>
      </c>
      <c r="J27" s="232">
        <f>G16</f>
        <v>0</v>
      </c>
      <c r="K27" s="489">
        <f>-$E$27*H27</f>
        <v>0</v>
      </c>
      <c r="L27" s="386">
        <f>-$E$27*I27</f>
        <v>0</v>
      </c>
      <c r="M27" s="484">
        <f>-$E$27*J27</f>
        <v>0</v>
      </c>
      <c r="N27" s="593"/>
    </row>
    <row r="28" spans="1:14" ht="33" customHeight="1" x14ac:dyDescent="0.25">
      <c r="A28" s="592"/>
      <c r="B28" s="492" t="s">
        <v>16</v>
      </c>
      <c r="C28" s="894" t="s">
        <v>217</v>
      </c>
      <c r="D28" s="893"/>
      <c r="E28" s="217">
        <v>0.1</v>
      </c>
      <c r="F28" s="376" t="s">
        <v>130</v>
      </c>
      <c r="G28" s="219">
        <f>IF(F28="no",0,E28)</f>
        <v>0</v>
      </c>
      <c r="H28" s="919"/>
      <c r="I28" s="920"/>
      <c r="J28" s="921"/>
      <c r="K28" s="485">
        <f>G28*$H$27</f>
        <v>0</v>
      </c>
      <c r="L28" s="451">
        <f>G28*$I$27</f>
        <v>0</v>
      </c>
      <c r="M28" s="486">
        <f>G28*$J$27</f>
        <v>0</v>
      </c>
      <c r="N28" s="593"/>
    </row>
    <row r="29" spans="1:14" ht="34.5" customHeight="1" x14ac:dyDescent="0.25">
      <c r="A29" s="592"/>
      <c r="B29" s="492" t="s">
        <v>17</v>
      </c>
      <c r="C29" s="894" t="s">
        <v>218</v>
      </c>
      <c r="D29" s="893"/>
      <c r="E29" s="217">
        <v>0.1</v>
      </c>
      <c r="F29" s="376" t="s">
        <v>130</v>
      </c>
      <c r="G29" s="219">
        <f>IF(F29="no",0,E29)</f>
        <v>0</v>
      </c>
      <c r="H29" s="922"/>
      <c r="I29" s="923"/>
      <c r="J29" s="924"/>
      <c r="K29" s="485">
        <f>G29*$H$27</f>
        <v>0</v>
      </c>
      <c r="L29" s="451">
        <f>G29*$I$27</f>
        <v>0</v>
      </c>
      <c r="M29" s="486">
        <f>G29*$J$27</f>
        <v>0</v>
      </c>
      <c r="N29" s="593"/>
    </row>
    <row r="30" spans="1:14" ht="33" customHeight="1" x14ac:dyDescent="0.25">
      <c r="A30" s="592"/>
      <c r="B30" s="492" t="s">
        <v>18</v>
      </c>
      <c r="C30" s="894" t="s">
        <v>219</v>
      </c>
      <c r="D30" s="893"/>
      <c r="E30" s="220">
        <v>0.05</v>
      </c>
      <c r="F30" s="378" t="s">
        <v>130</v>
      </c>
      <c r="G30" s="221">
        <f>IF(F30="no",0,E30)</f>
        <v>0</v>
      </c>
      <c r="H30" s="925"/>
      <c r="I30" s="926"/>
      <c r="J30" s="927"/>
      <c r="K30" s="490">
        <f>G30*$H$27</f>
        <v>0</v>
      </c>
      <c r="L30" s="452">
        <f>G30*$I$27</f>
        <v>0</v>
      </c>
      <c r="M30" s="184">
        <f>G30*$J$27</f>
        <v>0</v>
      </c>
      <c r="N30" s="593"/>
    </row>
    <row r="31" spans="1:14" ht="30.75" customHeight="1" thickBot="1" x14ac:dyDescent="0.3">
      <c r="A31" s="592"/>
      <c r="B31" s="493"/>
      <c r="C31" s="240" t="s">
        <v>207</v>
      </c>
      <c r="D31" s="241"/>
      <c r="E31" s="241"/>
      <c r="F31" s="241"/>
      <c r="G31" s="242"/>
      <c r="H31" s="242"/>
      <c r="I31" s="242"/>
      <c r="J31" s="243"/>
      <c r="K31" s="487">
        <f>IF(SUM($G$28:$G$30)=0%,K27,IF(SUM($G$28:$G$30)=5%,K27+H27*$E$30,IF(SUM($G$28:$G$30)=10%,K27+H27*$E$28,IF(SUM($G$28:$G$30)=15%,K27+H27*$E$29+H27*$E$30,IF(SUM($G$28:$G$30)&gt;20%,0,K27+H27*$E$28+H27*$E$29)))))</f>
        <v>0</v>
      </c>
      <c r="L31" s="453">
        <f>IF(SUM($G$28:$G$30)=0%,L27,IF(SUM($G$28:$G$30)=5%,L27+I27*$E$30,IF(SUM($G$28:$G$30)=10%,L27+I27*$E$28,IF(SUM($G$28:$G$30)=15%,L27+I27*$E$29+I27*$E$30,IF(SUM($G$28:$G$30)&gt;20%,0,L27+I27*$E$28+I27*$E$29)))))</f>
        <v>0</v>
      </c>
      <c r="M31" s="488">
        <f>IF(SUM($G$28:$G$30)=0%,M27,IF(SUM($G$28:$G$30)=5%,M27+J27*$E$30,IF(SUM($G$28:$G$30)=10%,M27+J27*$E$28,IF(SUM($G$28:$G$30)=15%,M27+J27*$E$29+J27*$E$30,IF(SUM($G$28:$G$30)&gt;20%,0,M27+J27*$E$28+J27*$E$29)))))</f>
        <v>0</v>
      </c>
      <c r="N31" s="593"/>
    </row>
    <row r="32" spans="1:14" ht="18" customHeight="1" thickBot="1" x14ac:dyDescent="0.3">
      <c r="A32" s="592"/>
      <c r="B32" s="239"/>
      <c r="C32" s="224"/>
      <c r="D32" s="224"/>
      <c r="E32" s="225"/>
      <c r="F32" s="226"/>
      <c r="G32" s="227"/>
      <c r="H32" s="223"/>
      <c r="I32" s="202"/>
      <c r="J32" s="202"/>
      <c r="K32" s="595"/>
      <c r="L32" s="595"/>
      <c r="M32" s="595"/>
      <c r="N32" s="593"/>
    </row>
    <row r="33" spans="1:14" ht="30.75" customHeight="1" thickBot="1" x14ac:dyDescent="0.3">
      <c r="A33" s="592"/>
      <c r="B33" s="212" t="s">
        <v>19</v>
      </c>
      <c r="C33" s="381" t="s">
        <v>202</v>
      </c>
      <c r="D33" s="382"/>
      <c r="E33" s="382"/>
      <c r="F33" s="382"/>
      <c r="G33" s="383"/>
      <c r="H33" s="146" t="s">
        <v>120</v>
      </c>
      <c r="I33" s="147" t="s">
        <v>121</v>
      </c>
      <c r="J33" s="148" t="s">
        <v>122</v>
      </c>
      <c r="K33" s="146" t="s">
        <v>120</v>
      </c>
      <c r="L33" s="147" t="s">
        <v>121</v>
      </c>
      <c r="M33" s="148" t="s">
        <v>122</v>
      </c>
      <c r="N33" s="593"/>
    </row>
    <row r="34" spans="1:14" ht="27.75" customHeight="1" x14ac:dyDescent="0.25">
      <c r="A34" s="592"/>
      <c r="B34" s="374"/>
      <c r="C34" s="928" t="s">
        <v>214</v>
      </c>
      <c r="D34" s="929"/>
      <c r="E34" s="375">
        <v>0.3</v>
      </c>
      <c r="F34" s="379"/>
      <c r="G34" s="380"/>
      <c r="H34" s="213">
        <f>D16</f>
        <v>0</v>
      </c>
      <c r="I34" s="231">
        <f>IF($E$16="",$F$16,$E$16)</f>
        <v>0</v>
      </c>
      <c r="J34" s="218">
        <f>G16</f>
        <v>0</v>
      </c>
      <c r="K34" s="489">
        <f>-$E$34*H34</f>
        <v>0</v>
      </c>
      <c r="L34" s="386">
        <f>-$E$34*I34</f>
        <v>0</v>
      </c>
      <c r="M34" s="484">
        <f>-$E$34*J34</f>
        <v>0</v>
      </c>
      <c r="N34" s="593"/>
    </row>
    <row r="35" spans="1:14" ht="37.5" customHeight="1" x14ac:dyDescent="0.25">
      <c r="A35" s="592"/>
      <c r="B35" s="492" t="s">
        <v>20</v>
      </c>
      <c r="C35" s="894" t="s">
        <v>220</v>
      </c>
      <c r="D35" s="893"/>
      <c r="E35" s="217">
        <v>0.05</v>
      </c>
      <c r="F35" s="376" t="s">
        <v>130</v>
      </c>
      <c r="G35" s="219">
        <f>IF(F35="no",0,E35)</f>
        <v>0</v>
      </c>
      <c r="H35" s="919"/>
      <c r="I35" s="920"/>
      <c r="J35" s="921"/>
      <c r="K35" s="485">
        <f t="shared" ref="K35:K39" si="0">G35*$H$34</f>
        <v>0</v>
      </c>
      <c r="L35" s="451">
        <f>G35*$I$34</f>
        <v>0</v>
      </c>
      <c r="M35" s="486">
        <f t="shared" ref="M35:M39" si="1">G35*$J$34</f>
        <v>0</v>
      </c>
      <c r="N35" s="593"/>
    </row>
    <row r="36" spans="1:14" ht="33" customHeight="1" x14ac:dyDescent="0.25">
      <c r="A36" s="592"/>
      <c r="B36" s="492" t="s">
        <v>21</v>
      </c>
      <c r="C36" s="894" t="s">
        <v>221</v>
      </c>
      <c r="D36" s="893"/>
      <c r="E36" s="217">
        <v>0.1</v>
      </c>
      <c r="F36" s="376" t="s">
        <v>130</v>
      </c>
      <c r="G36" s="219">
        <f>IF(F36="no",0,E36)</f>
        <v>0</v>
      </c>
      <c r="H36" s="922"/>
      <c r="I36" s="923"/>
      <c r="J36" s="924"/>
      <c r="K36" s="485">
        <f t="shared" si="0"/>
        <v>0</v>
      </c>
      <c r="L36" s="451">
        <f t="shared" ref="L36:L39" si="2">G36*$I$34</f>
        <v>0</v>
      </c>
      <c r="M36" s="486">
        <f t="shared" si="1"/>
        <v>0</v>
      </c>
      <c r="N36" s="593"/>
    </row>
    <row r="37" spans="1:14" ht="34.5" customHeight="1" x14ac:dyDescent="0.25">
      <c r="A37" s="592"/>
      <c r="B37" s="492" t="s">
        <v>22</v>
      </c>
      <c r="C37" s="894" t="s">
        <v>222</v>
      </c>
      <c r="D37" s="893"/>
      <c r="E37" s="217">
        <v>0.05</v>
      </c>
      <c r="F37" s="376" t="s">
        <v>130</v>
      </c>
      <c r="G37" s="219">
        <f>IF(F37="no",0,E37)</f>
        <v>0</v>
      </c>
      <c r="H37" s="922"/>
      <c r="I37" s="923"/>
      <c r="J37" s="924"/>
      <c r="K37" s="485">
        <f t="shared" si="0"/>
        <v>0</v>
      </c>
      <c r="L37" s="451">
        <f t="shared" si="2"/>
        <v>0</v>
      </c>
      <c r="M37" s="486">
        <f t="shared" si="1"/>
        <v>0</v>
      </c>
      <c r="N37" s="593"/>
    </row>
    <row r="38" spans="1:14" ht="33.75" customHeight="1" x14ac:dyDescent="0.25">
      <c r="A38" s="592"/>
      <c r="B38" s="492" t="s">
        <v>23</v>
      </c>
      <c r="C38" s="894" t="s">
        <v>223</v>
      </c>
      <c r="D38" s="893"/>
      <c r="E38" s="217">
        <v>0.1</v>
      </c>
      <c r="F38" s="376" t="s">
        <v>130</v>
      </c>
      <c r="G38" s="219">
        <f>IF(F38="no",0,E38)</f>
        <v>0</v>
      </c>
      <c r="H38" s="922"/>
      <c r="I38" s="923"/>
      <c r="J38" s="924"/>
      <c r="K38" s="485">
        <f t="shared" si="0"/>
        <v>0</v>
      </c>
      <c r="L38" s="451">
        <f t="shared" si="2"/>
        <v>0</v>
      </c>
      <c r="M38" s="486">
        <f t="shared" si="1"/>
        <v>0</v>
      </c>
      <c r="N38" s="593"/>
    </row>
    <row r="39" spans="1:14" ht="30" customHeight="1" x14ac:dyDescent="0.25">
      <c r="A39" s="592"/>
      <c r="B39" s="171" t="s">
        <v>24</v>
      </c>
      <c r="C39" s="894" t="s">
        <v>224</v>
      </c>
      <c r="D39" s="893"/>
      <c r="E39" s="220">
        <v>0.05</v>
      </c>
      <c r="F39" s="378" t="s">
        <v>130</v>
      </c>
      <c r="G39" s="221">
        <f>IF(F39="no",0,E39)</f>
        <v>0</v>
      </c>
      <c r="H39" s="922"/>
      <c r="I39" s="923"/>
      <c r="J39" s="924"/>
      <c r="K39" s="485">
        <f t="shared" si="0"/>
        <v>0</v>
      </c>
      <c r="L39" s="451">
        <f t="shared" si="2"/>
        <v>0</v>
      </c>
      <c r="M39" s="486">
        <f t="shared" si="1"/>
        <v>0</v>
      </c>
      <c r="N39" s="593"/>
    </row>
    <row r="40" spans="1:14" ht="28.5" customHeight="1" thickBot="1" x14ac:dyDescent="0.3">
      <c r="A40" s="592"/>
      <c r="B40" s="493"/>
      <c r="C40" s="240" t="s">
        <v>208</v>
      </c>
      <c r="D40" s="242"/>
      <c r="E40" s="242"/>
      <c r="F40" s="242"/>
      <c r="G40" s="242"/>
      <c r="H40" s="242"/>
      <c r="I40" s="242"/>
      <c r="J40" s="243"/>
      <c r="K40" s="487">
        <f>IF(SUM($G$35:$G$39)=0%,$K$34,IF(SUM($G$35:$G$39)=5%,$K$34+$H$34*5%,IF(SUM($G$35:$G$39)=10%,$K$34+$H$34*10%,IF(SUM($G$35:$G$39)=15%,$K$34+$H$34*15%,IF(SUM($G$35:$G$39)=20%,$K$34+$H$34*20%,IF(SUM($G$35:$G$39)=25%,$K$34+$H$34*25%,IF(SUM($G$35:$G$39)&gt;30%,0,$K$34+$H$34*30%)))))))</f>
        <v>0</v>
      </c>
      <c r="L40" s="453">
        <f>IF(SUM($G$35:$G$39)=0%,$K$34,IF(SUM($G$35:$G$39)=5%,$K$34+$H$34*5%,IF(SUM($G$35:$G$39)=10%,$K$34+$H$34*10%,IF(SUM($G$35:$G$39)=15%,$K$34+$H$34*15%,IF(SUM($G$35:$G$39)=20%,$K$34+$H$34*20%,IF(SUM($G$35:$G$39)=25%,$K$34+$H$34*25%,IF(SUM($G$35:$G$39)&gt;30%,0,$K$34+$H$34*30%)))))))</f>
        <v>0</v>
      </c>
      <c r="M40" s="488">
        <f>IF(SUM($G$35:$G$39)=0%,$K$34,IF(SUM($G$35:$G$39)=5%,$K$34+$H$34*5%,IF(SUM($G$35:$G$39)=10%,$K$34+$H$34*10%,IF(SUM($G$35:$G$39)=15%,$K$34+$H$34*15%,IF(SUM($G$35:$G$39)=20%,$K$34+$H$34*20%,IF(SUM($G$35:$G$39)=25%,$K$34+$H$34*25%,IF(SUM($G$35:$G$39)&gt;30%,0,$K$34+$H$34*30%)))))))</f>
        <v>0</v>
      </c>
      <c r="N40" s="593"/>
    </row>
    <row r="41" spans="1:14" ht="18.75" customHeight="1" thickBot="1" x14ac:dyDescent="0.3">
      <c r="A41" s="592"/>
      <c r="B41" s="239"/>
      <c r="C41" s="224"/>
      <c r="D41" s="224"/>
      <c r="E41" s="228"/>
      <c r="F41" s="223"/>
      <c r="G41" s="229"/>
      <c r="H41" s="202"/>
      <c r="I41" s="202"/>
      <c r="J41" s="202"/>
      <c r="K41" s="281"/>
      <c r="L41" s="281"/>
      <c r="M41" s="281"/>
      <c r="N41" s="593"/>
    </row>
    <row r="42" spans="1:14" ht="36" customHeight="1" thickBot="1" x14ac:dyDescent="0.3">
      <c r="A42" s="592"/>
      <c r="B42" s="212" t="s">
        <v>25</v>
      </c>
      <c r="C42" s="381" t="s">
        <v>203</v>
      </c>
      <c r="D42" s="387"/>
      <c r="E42" s="387"/>
      <c r="F42" s="387"/>
      <c r="G42" s="383"/>
      <c r="H42" s="146" t="s">
        <v>120</v>
      </c>
      <c r="I42" s="147" t="s">
        <v>121</v>
      </c>
      <c r="J42" s="148" t="s">
        <v>122</v>
      </c>
      <c r="K42" s="146" t="s">
        <v>120</v>
      </c>
      <c r="L42" s="147" t="s">
        <v>121</v>
      </c>
      <c r="M42" s="148" t="s">
        <v>122</v>
      </c>
      <c r="N42" s="593"/>
    </row>
    <row r="43" spans="1:14" ht="31.5" customHeight="1" x14ac:dyDescent="0.25">
      <c r="A43" s="592"/>
      <c r="B43" s="374"/>
      <c r="C43" s="928" t="s">
        <v>214</v>
      </c>
      <c r="D43" s="929"/>
      <c r="E43" s="375">
        <v>0.3</v>
      </c>
      <c r="F43" s="379"/>
      <c r="G43" s="380"/>
      <c r="H43" s="489">
        <f>D16</f>
        <v>0</v>
      </c>
      <c r="I43" s="386">
        <f>IF($E$16="",$F$16,$E$16)</f>
        <v>0</v>
      </c>
      <c r="J43" s="484">
        <f>G16</f>
        <v>0</v>
      </c>
      <c r="K43" s="489">
        <f>-$E$43*H43</f>
        <v>0</v>
      </c>
      <c r="L43" s="386">
        <f>-$E$43*I43</f>
        <v>0</v>
      </c>
      <c r="M43" s="484">
        <f>-$E$43*J43</f>
        <v>0</v>
      </c>
      <c r="N43" s="593"/>
    </row>
    <row r="44" spans="1:14" ht="51.75" customHeight="1" x14ac:dyDescent="0.25">
      <c r="A44" s="592"/>
      <c r="B44" s="492" t="s">
        <v>26</v>
      </c>
      <c r="C44" s="894" t="s">
        <v>369</v>
      </c>
      <c r="D44" s="893"/>
      <c r="E44" s="217">
        <v>0.05</v>
      </c>
      <c r="F44" s="376" t="s">
        <v>130</v>
      </c>
      <c r="G44" s="219">
        <f t="shared" ref="G44:G50" si="3">IF(F44="no",0,E44)</f>
        <v>0</v>
      </c>
      <c r="H44" s="919"/>
      <c r="I44" s="920"/>
      <c r="J44" s="921"/>
      <c r="K44" s="490">
        <f t="shared" ref="K44:K50" si="4">G44*$H$43</f>
        <v>0</v>
      </c>
      <c r="L44" s="452">
        <f>G44*$I$43</f>
        <v>0</v>
      </c>
      <c r="M44" s="184">
        <f t="shared" ref="M44:M50" si="5">G44*$J$43</f>
        <v>0</v>
      </c>
      <c r="N44" s="593"/>
    </row>
    <row r="45" spans="1:14" ht="36" customHeight="1" x14ac:dyDescent="0.25">
      <c r="A45" s="592"/>
      <c r="B45" s="492" t="s">
        <v>27</v>
      </c>
      <c r="C45" s="894" t="s">
        <v>370</v>
      </c>
      <c r="D45" s="893"/>
      <c r="E45" s="217">
        <v>0.1</v>
      </c>
      <c r="F45" s="376" t="s">
        <v>130</v>
      </c>
      <c r="G45" s="219">
        <f t="shared" si="3"/>
        <v>0</v>
      </c>
      <c r="H45" s="922"/>
      <c r="I45" s="923"/>
      <c r="J45" s="924"/>
      <c r="K45" s="490">
        <f t="shared" si="4"/>
        <v>0</v>
      </c>
      <c r="L45" s="452">
        <f t="shared" ref="L45:L50" si="6">G45*$I$43</f>
        <v>0</v>
      </c>
      <c r="M45" s="184">
        <f t="shared" si="5"/>
        <v>0</v>
      </c>
      <c r="N45" s="593"/>
    </row>
    <row r="46" spans="1:14" s="55" customFormat="1" ht="32.25" customHeight="1" x14ac:dyDescent="0.25">
      <c r="A46" s="592"/>
      <c r="B46" s="492" t="s">
        <v>28</v>
      </c>
      <c r="C46" s="894" t="s">
        <v>371</v>
      </c>
      <c r="D46" s="893"/>
      <c r="E46" s="217">
        <v>0.1</v>
      </c>
      <c r="F46" s="376" t="s">
        <v>130</v>
      </c>
      <c r="G46" s="219">
        <f t="shared" si="3"/>
        <v>0</v>
      </c>
      <c r="H46" s="922"/>
      <c r="I46" s="923"/>
      <c r="J46" s="924"/>
      <c r="K46" s="490">
        <f t="shared" si="4"/>
        <v>0</v>
      </c>
      <c r="L46" s="452">
        <f>G46*$I$43</f>
        <v>0</v>
      </c>
      <c r="M46" s="184">
        <f t="shared" si="5"/>
        <v>0</v>
      </c>
      <c r="N46" s="593"/>
    </row>
    <row r="47" spans="1:14" ht="39" customHeight="1" x14ac:dyDescent="0.25">
      <c r="A47" s="592"/>
      <c r="B47" s="492" t="s">
        <v>29</v>
      </c>
      <c r="C47" s="894" t="s">
        <v>225</v>
      </c>
      <c r="D47" s="893"/>
      <c r="E47" s="217">
        <v>0.1</v>
      </c>
      <c r="F47" s="376" t="s">
        <v>130</v>
      </c>
      <c r="G47" s="219">
        <f t="shared" si="3"/>
        <v>0</v>
      </c>
      <c r="H47" s="922"/>
      <c r="I47" s="923"/>
      <c r="J47" s="924"/>
      <c r="K47" s="490">
        <f t="shared" si="4"/>
        <v>0</v>
      </c>
      <c r="L47" s="452">
        <f t="shared" si="6"/>
        <v>0</v>
      </c>
      <c r="M47" s="184">
        <f t="shared" si="5"/>
        <v>0</v>
      </c>
      <c r="N47" s="593"/>
    </row>
    <row r="48" spans="1:14" ht="30" customHeight="1" x14ac:dyDescent="0.25">
      <c r="A48" s="592"/>
      <c r="B48" s="492" t="s">
        <v>30</v>
      </c>
      <c r="C48" s="894" t="s">
        <v>226</v>
      </c>
      <c r="D48" s="893"/>
      <c r="E48" s="217">
        <v>0.05</v>
      </c>
      <c r="F48" s="376" t="s">
        <v>130</v>
      </c>
      <c r="G48" s="219">
        <f t="shared" si="3"/>
        <v>0</v>
      </c>
      <c r="H48" s="922"/>
      <c r="I48" s="923"/>
      <c r="J48" s="924"/>
      <c r="K48" s="490">
        <f t="shared" si="4"/>
        <v>0</v>
      </c>
      <c r="L48" s="452">
        <f>G48*$I$43</f>
        <v>0</v>
      </c>
      <c r="M48" s="184">
        <f t="shared" si="5"/>
        <v>0</v>
      </c>
      <c r="N48" s="593"/>
    </row>
    <row r="49" spans="1:18" ht="36" customHeight="1" x14ac:dyDescent="0.25">
      <c r="A49" s="592"/>
      <c r="B49" s="492" t="s">
        <v>31</v>
      </c>
      <c r="C49" s="894" t="s">
        <v>227</v>
      </c>
      <c r="D49" s="893"/>
      <c r="E49" s="217">
        <v>0.05</v>
      </c>
      <c r="F49" s="376" t="s">
        <v>130</v>
      </c>
      <c r="G49" s="219">
        <f t="shared" si="3"/>
        <v>0</v>
      </c>
      <c r="H49" s="922"/>
      <c r="I49" s="923"/>
      <c r="J49" s="924"/>
      <c r="K49" s="490">
        <f t="shared" si="4"/>
        <v>0</v>
      </c>
      <c r="L49" s="452">
        <f t="shared" si="6"/>
        <v>0</v>
      </c>
      <c r="M49" s="184">
        <f t="shared" si="5"/>
        <v>0</v>
      </c>
      <c r="N49" s="593"/>
    </row>
    <row r="50" spans="1:18" ht="37.5" customHeight="1" x14ac:dyDescent="0.25">
      <c r="A50" s="592"/>
      <c r="B50" s="171" t="s">
        <v>32</v>
      </c>
      <c r="C50" s="894" t="s">
        <v>372</v>
      </c>
      <c r="D50" s="893"/>
      <c r="E50" s="220">
        <v>0.05</v>
      </c>
      <c r="F50" s="376" t="s">
        <v>130</v>
      </c>
      <c r="G50" s="221">
        <f t="shared" si="3"/>
        <v>0</v>
      </c>
      <c r="H50" s="925"/>
      <c r="I50" s="926"/>
      <c r="J50" s="927"/>
      <c r="K50" s="490">
        <f t="shared" si="4"/>
        <v>0</v>
      </c>
      <c r="L50" s="452">
        <f t="shared" si="6"/>
        <v>0</v>
      </c>
      <c r="M50" s="184">
        <f t="shared" si="5"/>
        <v>0</v>
      </c>
      <c r="N50" s="593"/>
    </row>
    <row r="51" spans="1:18" ht="30" customHeight="1" thickBot="1" x14ac:dyDescent="0.3">
      <c r="A51" s="592"/>
      <c r="B51" s="493"/>
      <c r="C51" s="917" t="s">
        <v>209</v>
      </c>
      <c r="D51" s="918"/>
      <c r="E51" s="918"/>
      <c r="F51" s="242"/>
      <c r="G51" s="242"/>
      <c r="H51" s="242"/>
      <c r="I51" s="242"/>
      <c r="J51" s="243"/>
      <c r="K51" s="487">
        <f>IF(SUM($G$44:$G$50)=0%,$K$43,IF(SUM($G$44:$G$50)=5%,$K$43+$H$43*5%,IF(SUM($G$44:$G$50)=10%,$K$43+$H$43*10%,IF(SUM($G$44:$G$50)=15%,$K$43+$H$43*15%,IF(SUM($G$44:$G$50)=20%,$K$43+$H$43*20%,IF(SUM($G$44:$G$50)=25%,$K$43+$H$43*25%,IF(SUM($G$44:$G$50)&gt;30%,0,$K$43+$H$43*30%)))))))</f>
        <v>0</v>
      </c>
      <c r="L51" s="453">
        <f>IF(SUM($G$44:$G$50)=0%,$L$43,IF(SUM($G$44:$G$50)=5%,$L$43+$I$43*5%,IF(SUM($G$44:$G$50)=10%,$L$43+$I$43*10%,IF(SUM($G$44:$G$50)=15%,$L$43+$I$43*15%,IF(SUM($G$44:$G$50)=20%,$L$43+$I$43*20%,IF(SUM($G$44:$G$50)=25%,$L$43+$I$43*25%,IF(SUM($G$44:$G$50)&gt;30%,0,$L$43+$I$43*30%)))))))</f>
        <v>0</v>
      </c>
      <c r="M51" s="488">
        <f>IF(SUM($G$44:$G$50)=0%,$M$43,IF(SUM($G$44:$G$50)=5%,$M$43+$J$43*5%,IF(SUM($G$44:$G$50)=10%,$M$43+$J$43*10%,IF(SUM($G$44:$G$50)=15%,$M$43+$J$43*15%,IF(SUM($G$44:$G$50)=20%,$M$43+$J$43*20%,IF(SUM($G$44:$G$50)=25%,$M$43+$J$43*25%,IF(SUM($G$44:$G$50)&gt;30%,0,$M$43+$J$43*30%)))))))</f>
        <v>0</v>
      </c>
      <c r="N51" s="593"/>
    </row>
    <row r="52" spans="1:18" ht="30.75" customHeight="1" thickBot="1" x14ac:dyDescent="0.3">
      <c r="A52" s="592"/>
      <c r="B52" s="202"/>
      <c r="C52" s="291"/>
      <c r="D52" s="230"/>
      <c r="E52" s="202"/>
      <c r="F52" s="216"/>
      <c r="G52" s="202"/>
      <c r="H52" s="202"/>
      <c r="I52" s="202"/>
      <c r="J52" s="202"/>
      <c r="K52" s="281"/>
      <c r="L52" s="281"/>
      <c r="M52" s="281"/>
      <c r="N52" s="593"/>
    </row>
    <row r="53" spans="1:18" ht="32.25" customHeight="1" x14ac:dyDescent="0.25">
      <c r="A53" s="592"/>
      <c r="B53" s="596"/>
      <c r="C53" s="916"/>
      <c r="D53" s="916"/>
      <c r="E53" s="202"/>
      <c r="F53" s="899" t="s">
        <v>392</v>
      </c>
      <c r="G53" s="900"/>
      <c r="H53" s="900"/>
      <c r="I53" s="900"/>
      <c r="J53" s="901"/>
      <c r="K53" s="231">
        <f>D16+K24+K31+K40+K51</f>
        <v>0</v>
      </c>
      <c r="L53" s="231">
        <f>IF(E16="",F16+L24+L31+L40+L51,E16+L24+L31+L40+L51)</f>
        <v>0</v>
      </c>
      <c r="M53" s="232">
        <f>G16+M24+M31+M40+M51</f>
        <v>0</v>
      </c>
      <c r="N53" s="593"/>
    </row>
    <row r="54" spans="1:18" ht="60.75" customHeight="1" x14ac:dyDescent="0.25">
      <c r="A54" s="592"/>
      <c r="B54" s="596"/>
      <c r="C54" s="916"/>
      <c r="D54" s="916"/>
      <c r="E54" s="202"/>
      <c r="F54" s="913" t="s">
        <v>231</v>
      </c>
      <c r="G54" s="914"/>
      <c r="H54" s="914"/>
      <c r="I54" s="914"/>
      <c r="J54" s="915"/>
      <c r="K54" s="454"/>
      <c r="L54" s="454"/>
      <c r="M54" s="491"/>
      <c r="N54" s="593"/>
      <c r="Q54" s="515"/>
    </row>
    <row r="55" spans="1:18" ht="39" customHeight="1" x14ac:dyDescent="0.25">
      <c r="A55" s="592"/>
      <c r="B55" s="202"/>
      <c r="C55" s="290"/>
      <c r="D55" s="202"/>
      <c r="E55" s="202"/>
      <c r="F55" s="902" t="s">
        <v>232</v>
      </c>
      <c r="G55" s="903"/>
      <c r="H55" s="903"/>
      <c r="I55" s="903"/>
      <c r="J55" s="904"/>
      <c r="K55" s="905"/>
      <c r="L55" s="906"/>
      <c r="M55" s="907"/>
      <c r="N55" s="593"/>
    </row>
    <row r="56" spans="1:18" ht="40.5" customHeight="1" x14ac:dyDescent="0.25">
      <c r="A56" s="592"/>
      <c r="B56" s="202"/>
      <c r="C56" s="202"/>
      <c r="D56" s="202"/>
      <c r="E56" s="202"/>
      <c r="F56" s="902" t="s">
        <v>393</v>
      </c>
      <c r="G56" s="903"/>
      <c r="H56" s="903"/>
      <c r="I56" s="903"/>
      <c r="J56" s="904"/>
      <c r="K56" s="905"/>
      <c r="L56" s="906"/>
      <c r="M56" s="907"/>
      <c r="N56" s="593"/>
    </row>
    <row r="57" spans="1:18" ht="42" customHeight="1" thickBot="1" x14ac:dyDescent="0.3">
      <c r="A57" s="592"/>
      <c r="B57" s="202"/>
      <c r="C57" s="202"/>
      <c r="D57" s="202"/>
      <c r="E57" s="202"/>
      <c r="F57" s="911" t="s">
        <v>229</v>
      </c>
      <c r="G57" s="912"/>
      <c r="H57" s="912"/>
      <c r="I57" s="912"/>
      <c r="J57" s="912"/>
      <c r="K57" s="896" t="str">
        <f>IF(K55="","",IF((1-(-0.25*(K56/K55)+0.25))&lt;0.75,0.75,IF((1-(-0.25*(K56/K55)+0.25))&gt;1,1,((1-(-0.25*(K56/K55)+0.25))))))</f>
        <v/>
      </c>
      <c r="L57" s="897"/>
      <c r="M57" s="898"/>
      <c r="N57" s="597"/>
      <c r="R57" s="455"/>
    </row>
    <row r="58" spans="1:18" ht="43.5" customHeight="1" thickBot="1" x14ac:dyDescent="0.3">
      <c r="A58" s="592"/>
      <c r="B58" s="202"/>
      <c r="C58" s="56"/>
      <c r="D58" s="56"/>
      <c r="E58" s="202"/>
      <c r="F58" s="908" t="s">
        <v>230</v>
      </c>
      <c r="G58" s="909"/>
      <c r="H58" s="909"/>
      <c r="I58" s="909"/>
      <c r="J58" s="910"/>
      <c r="K58" s="384">
        <f>IF($K$56=0,$K$53,$K$53*$K$57)</f>
        <v>0</v>
      </c>
      <c r="L58" s="384">
        <f>IF($K$56=0,$L$53,$L$53*$K$57)</f>
        <v>0</v>
      </c>
      <c r="M58" s="385">
        <f>IF($K$56=0,$M$53,$M$53*$K$57)</f>
        <v>0</v>
      </c>
      <c r="N58" s="593"/>
    </row>
    <row r="59" spans="1:18" ht="49.5" customHeight="1" x14ac:dyDescent="0.25">
      <c r="A59" s="592"/>
      <c r="B59" s="303"/>
      <c r="C59" s="891" t="s">
        <v>228</v>
      </c>
      <c r="D59" s="891"/>
      <c r="E59" s="303"/>
      <c r="F59" s="303"/>
      <c r="G59" s="303"/>
      <c r="H59" s="303"/>
      <c r="I59" s="303"/>
      <c r="J59" s="303"/>
      <c r="K59" s="598"/>
      <c r="L59" s="598"/>
      <c r="M59" s="598"/>
      <c r="N59" s="593"/>
    </row>
    <row r="60" spans="1:18" ht="125.25" customHeight="1" x14ac:dyDescent="0.25">
      <c r="A60" s="592"/>
      <c r="B60" s="303"/>
      <c r="C60" s="303"/>
      <c r="D60" s="303"/>
      <c r="E60" s="303"/>
      <c r="F60" s="895" t="s">
        <v>433</v>
      </c>
      <c r="G60" s="895"/>
      <c r="H60" s="895"/>
      <c r="I60" s="895"/>
      <c r="J60" s="895"/>
      <c r="K60" s="895"/>
      <c r="L60" s="895"/>
      <c r="M60" s="895"/>
      <c r="N60" s="593"/>
      <c r="P60" s="705"/>
    </row>
    <row r="61" spans="1:18" x14ac:dyDescent="0.25">
      <c r="A61" s="592"/>
      <c r="B61" s="74"/>
      <c r="C61" s="74"/>
      <c r="D61" s="74"/>
      <c r="E61" s="74"/>
      <c r="F61" s="74"/>
      <c r="G61" s="74"/>
      <c r="H61" s="74"/>
      <c r="I61" s="74"/>
      <c r="J61" s="74"/>
      <c r="K61" s="482"/>
      <c r="L61" s="482"/>
      <c r="M61" s="482"/>
      <c r="N61" s="593"/>
    </row>
    <row r="62" spans="1:18" x14ac:dyDescent="0.25">
      <c r="A62" s="509"/>
      <c r="B62" s="302"/>
      <c r="C62" s="302"/>
      <c r="D62" s="74"/>
      <c r="E62" s="74"/>
      <c r="F62" s="74"/>
      <c r="G62" s="74"/>
      <c r="H62" s="74"/>
      <c r="I62" s="74"/>
      <c r="J62" s="74"/>
      <c r="K62" s="482"/>
      <c r="L62" s="482"/>
      <c r="M62" s="482"/>
      <c r="N62" s="593"/>
    </row>
    <row r="63" spans="1:18" x14ac:dyDescent="0.25">
      <c r="A63" s="554"/>
      <c r="B63" s="555"/>
      <c r="C63" s="555"/>
      <c r="D63" s="599"/>
      <c r="E63" s="599"/>
      <c r="F63" s="599"/>
      <c r="G63" s="599"/>
      <c r="H63" s="599"/>
      <c r="I63" s="599"/>
      <c r="J63" s="599"/>
      <c r="K63" s="600"/>
      <c r="L63" s="600"/>
      <c r="M63" s="600"/>
      <c r="N63" s="601"/>
    </row>
  </sheetData>
  <sheetProtection algorithmName="SHA-512" hashValue="iBIWHXZDp2WGIfilJKBqZ3gqQI6+ZFeHxeuxUh9S9GF2Rj1f7gU6qYaYXu09oRUial3dB8p6InY2lPGkz5LXbA==" saltValue="DbOcVYywHzVk3ZokTIdJXQ==" spinCount="100000" sheet="1" selectLockedCells="1"/>
  <protectedRanges>
    <protectedRange sqref="K55:M56" name="Range6"/>
    <protectedRange sqref="F44:F50" name="Range5"/>
    <protectedRange sqref="F35:F39" name="Range4"/>
    <protectedRange sqref="F28:F30" name="Range3"/>
    <protectedRange sqref="F22:F23" name="Range2"/>
    <protectedRange sqref="B16" name="Range1"/>
  </protectedRanges>
  <mergeCells count="57">
    <mergeCell ref="H22:J23"/>
    <mergeCell ref="C21:D21"/>
    <mergeCell ref="B11:C11"/>
    <mergeCell ref="B12:C12"/>
    <mergeCell ref="B13:C13"/>
    <mergeCell ref="B15:C15"/>
    <mergeCell ref="B16:C16"/>
    <mergeCell ref="B18:M18"/>
    <mergeCell ref="C20:E20"/>
    <mergeCell ref="A19:N19"/>
    <mergeCell ref="B2:C2"/>
    <mergeCell ref="B3:C3"/>
    <mergeCell ref="B7:C7"/>
    <mergeCell ref="B8:C8"/>
    <mergeCell ref="B9:C9"/>
    <mergeCell ref="B5:G5"/>
    <mergeCell ref="D3:G3"/>
    <mergeCell ref="D2:G2"/>
    <mergeCell ref="B6:G6"/>
    <mergeCell ref="C53:D53"/>
    <mergeCell ref="C22:D22"/>
    <mergeCell ref="C26:G26"/>
    <mergeCell ref="C37:D37"/>
    <mergeCell ref="C38:D38"/>
    <mergeCell ref="C39:D39"/>
    <mergeCell ref="C28:D28"/>
    <mergeCell ref="C29:D29"/>
    <mergeCell ref="C30:D30"/>
    <mergeCell ref="C49:D49"/>
    <mergeCell ref="C50:D50"/>
    <mergeCell ref="C27:D27"/>
    <mergeCell ref="H28:J30"/>
    <mergeCell ref="C36:D36"/>
    <mergeCell ref="C48:D48"/>
    <mergeCell ref="C43:D43"/>
    <mergeCell ref="C44:D44"/>
    <mergeCell ref="C45:D45"/>
    <mergeCell ref="C46:D46"/>
    <mergeCell ref="H35:J39"/>
    <mergeCell ref="C34:D34"/>
    <mergeCell ref="C35:D35"/>
    <mergeCell ref="C59:D59"/>
    <mergeCell ref="C23:D23"/>
    <mergeCell ref="C47:D47"/>
    <mergeCell ref="F60:M60"/>
    <mergeCell ref="K57:M57"/>
    <mergeCell ref="F53:J53"/>
    <mergeCell ref="F55:J55"/>
    <mergeCell ref="F56:J56"/>
    <mergeCell ref="K55:M55"/>
    <mergeCell ref="K56:M56"/>
    <mergeCell ref="F58:J58"/>
    <mergeCell ref="F57:J57"/>
    <mergeCell ref="F54:J54"/>
    <mergeCell ref="C54:D54"/>
    <mergeCell ref="C51:E51"/>
    <mergeCell ref="H44:J50"/>
  </mergeCells>
  <phoneticPr fontId="4" type="noConversion"/>
  <conditionalFormatting sqref="G28:G30 G44:G50 G35:G39">
    <cfRule type="cellIs" dxfId="9" priority="4" stopIfTrue="1" operator="greaterThan">
      <formula>0</formula>
    </cfRule>
  </conditionalFormatting>
  <conditionalFormatting sqref="G22:G23">
    <cfRule type="cellIs" dxfId="8" priority="1" stopIfTrue="1" operator="greaterThan">
      <formula>0</formula>
    </cfRule>
  </conditionalFormatting>
  <pageMargins left="0.78740157480314965" right="0.78740157480314965" top="1.1811023622047245" bottom="0.98425196850393704" header="0.51181102362204722" footer="0.51181102362204722"/>
  <pageSetup paperSize="8" scale="77" orientation="portrait"/>
  <headerFooter>
    <oddHeader>&amp;L&amp;"Times New Roman,Halvfet"&amp;16Microbial barrier analysis (MBA)
Opertional tool&amp;C&amp;"Times New Roman,Halvfet"&amp;16&amp;A&amp;R&amp;"Times New Roman,Halvfet"&amp;16Page &amp;P of &amp;N
&amp;D</oddHeader>
  </headerFooter>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key!$A$2:$A$3</xm:f>
          </x14:formula1>
          <xm:sqref>F22:F23 F28:F30 F44:F50 F35:F39</xm:sqref>
        </x14:dataValidation>
        <x14:dataValidation type="list" allowBlank="1" showInputMessage="1" showErrorMessage="1">
          <x14:formula1>
            <xm:f>key!$A$6:$A$16</xm:f>
          </x14:formula1>
          <xm:sqref>C17</xm:sqref>
        </x14:dataValidation>
        <x14:dataValidation type="list" allowBlank="1" showInputMessage="1" showErrorMessage="1">
          <x14:formula1>
            <xm:f>key!$A$7:$A$16</xm:f>
          </x14:formula1>
          <xm:sqref>B16:C16</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X94"/>
  <sheetViews>
    <sheetView topLeftCell="A42" zoomScale="98" zoomScaleNormal="98" zoomScalePageLayoutView="125" workbookViewId="0">
      <selection activeCell="E50" sqref="E50:G50"/>
    </sheetView>
  </sheetViews>
  <sheetFormatPr baseColWidth="10" defaultColWidth="10.7109375" defaultRowHeight="15" x14ac:dyDescent="0.25"/>
  <cols>
    <col min="1" max="1" width="2.42578125" style="1" customWidth="1"/>
    <col min="2" max="2" width="5.140625" style="1" customWidth="1"/>
    <col min="3" max="3" width="36.7109375" style="1" customWidth="1"/>
    <col min="4" max="4" width="15.42578125" style="1" customWidth="1"/>
    <col min="5" max="5" width="12.28515625" style="1" customWidth="1"/>
    <col min="6" max="6" width="16.7109375" style="1" customWidth="1"/>
    <col min="7" max="7" width="11.7109375" style="1" customWidth="1"/>
    <col min="8" max="8" width="19.42578125" style="1" customWidth="1"/>
    <col min="9" max="9" width="14.7109375" style="1" customWidth="1"/>
    <col min="10" max="10" width="18.7109375" style="1" customWidth="1"/>
    <col min="11" max="11" width="11.7109375" style="1" customWidth="1"/>
    <col min="12" max="12" width="11.42578125" style="1" customWidth="1"/>
    <col min="13" max="16384" width="10.7109375" style="1"/>
  </cols>
  <sheetData>
    <row r="1" spans="1:24" ht="15.75" thickBot="1" x14ac:dyDescent="0.3">
      <c r="A1" s="544"/>
      <c r="B1" s="545"/>
      <c r="C1" s="545"/>
      <c r="D1" s="545"/>
      <c r="E1" s="545"/>
      <c r="F1" s="545"/>
      <c r="G1" s="545"/>
      <c r="H1" s="545"/>
      <c r="I1" s="545"/>
      <c r="J1" s="545"/>
      <c r="K1" s="545"/>
      <c r="L1" s="545"/>
      <c r="M1" s="545"/>
      <c r="N1" s="545"/>
      <c r="O1" s="545"/>
      <c r="P1" s="559"/>
    </row>
    <row r="2" spans="1:24" ht="30.75" customHeight="1" x14ac:dyDescent="0.25">
      <c r="A2" s="509"/>
      <c r="B2" s="302"/>
      <c r="C2" s="1029" t="str">
        <f>'Lakes and catchment areas'!B2</f>
        <v>Owner of water treatment plant:</v>
      </c>
      <c r="D2" s="1030"/>
      <c r="E2" s="1020" t="str">
        <f>'Lakes and catchment areas'!D2</f>
        <v>BB</v>
      </c>
      <c r="F2" s="1020"/>
      <c r="G2" s="1020"/>
      <c r="H2" s="1020"/>
      <c r="I2" s="1021"/>
      <c r="J2" s="303"/>
      <c r="K2" s="303"/>
      <c r="L2" s="303"/>
      <c r="M2" s="303"/>
      <c r="N2" s="303"/>
      <c r="O2" s="303"/>
      <c r="P2" s="547"/>
    </row>
    <row r="3" spans="1:24" ht="33.75" customHeight="1" thickBot="1" x14ac:dyDescent="0.3">
      <c r="A3" s="509"/>
      <c r="B3" s="302"/>
      <c r="C3" s="1031" t="str">
        <f>'Lakes and catchment areas'!B3</f>
        <v>Name of the water treatment plant:</v>
      </c>
      <c r="D3" s="1032"/>
      <c r="E3" s="1022" t="str">
        <f>'Lakes and catchment areas'!D3</f>
        <v>VV</v>
      </c>
      <c r="F3" s="1022"/>
      <c r="G3" s="1022"/>
      <c r="H3" s="1022"/>
      <c r="I3" s="1023"/>
      <c r="J3" s="303"/>
      <c r="K3" s="303"/>
      <c r="L3" s="303"/>
      <c r="M3" s="303"/>
      <c r="N3" s="303"/>
      <c r="O3" s="303"/>
      <c r="P3" s="547"/>
      <c r="S3" s="560"/>
      <c r="T3" s="560"/>
      <c r="U3" s="560"/>
      <c r="V3" s="560"/>
      <c r="W3" s="560"/>
      <c r="X3" s="560"/>
    </row>
    <row r="4" spans="1:24" ht="21" customHeight="1" thickBot="1" x14ac:dyDescent="0.3">
      <c r="A4" s="509"/>
      <c r="B4" s="302"/>
      <c r="C4" s="302"/>
      <c r="D4" s="302"/>
      <c r="E4" s="302"/>
      <c r="F4" s="302"/>
      <c r="G4" s="302"/>
      <c r="H4" s="302"/>
      <c r="I4" s="302"/>
      <c r="J4" s="302"/>
      <c r="K4" s="303"/>
      <c r="L4" s="303"/>
      <c r="M4" s="303"/>
      <c r="N4" s="303"/>
      <c r="O4" s="303"/>
      <c r="P4" s="547"/>
      <c r="S4" s="560"/>
      <c r="T4" s="560"/>
      <c r="U4" s="560"/>
      <c r="V4" s="560"/>
      <c r="W4" s="560"/>
      <c r="X4" s="560"/>
    </row>
    <row r="5" spans="1:24" ht="33.75" customHeight="1" thickBot="1" x14ac:dyDescent="0.3">
      <c r="A5" s="509"/>
      <c r="B5" s="302"/>
      <c r="C5" s="1017" t="s">
        <v>235</v>
      </c>
      <c r="D5" s="1018"/>
      <c r="E5" s="1018"/>
      <c r="F5" s="1018"/>
      <c r="G5" s="1018"/>
      <c r="H5" s="1018"/>
      <c r="I5" s="1019"/>
      <c r="J5" s="303"/>
      <c r="K5" s="303"/>
      <c r="L5" s="303"/>
      <c r="M5" s="303"/>
      <c r="N5" s="303"/>
      <c r="O5" s="303"/>
      <c r="P5" s="547"/>
      <c r="S5" s="661"/>
      <c r="T5" s="661"/>
      <c r="U5" s="661"/>
      <c r="V5" s="661"/>
      <c r="W5" s="661"/>
      <c r="X5" s="661"/>
    </row>
    <row r="6" spans="1:24" ht="21" customHeight="1" thickBot="1" x14ac:dyDescent="0.35">
      <c r="A6" s="509"/>
      <c r="B6" s="302"/>
      <c r="C6" s="1027"/>
      <c r="D6" s="1027"/>
      <c r="E6" s="300"/>
      <c r="F6" s="300"/>
      <c r="G6" s="300"/>
      <c r="H6" s="300"/>
      <c r="I6" s="303"/>
      <c r="J6" s="303"/>
      <c r="K6" s="303"/>
      <c r="L6" s="303"/>
      <c r="M6" s="303"/>
      <c r="N6" s="303"/>
      <c r="O6" s="303"/>
      <c r="P6" s="547"/>
      <c r="S6" s="560"/>
      <c r="T6" s="560"/>
      <c r="U6" s="560"/>
      <c r="V6" s="560"/>
      <c r="W6" s="560"/>
      <c r="X6" s="560"/>
    </row>
    <row r="7" spans="1:24" ht="26.25" customHeight="1" x14ac:dyDescent="0.25">
      <c r="A7" s="509"/>
      <c r="B7" s="302"/>
      <c r="C7" s="1033" t="s">
        <v>376</v>
      </c>
      <c r="D7" s="1034"/>
      <c r="E7" s="1034"/>
      <c r="F7" s="664" t="s">
        <v>120</v>
      </c>
      <c r="G7" s="654" t="s">
        <v>55</v>
      </c>
      <c r="H7" s="654" t="s">
        <v>80</v>
      </c>
      <c r="I7" s="655" t="s">
        <v>379</v>
      </c>
      <c r="J7" s="253"/>
      <c r="K7" s="253"/>
      <c r="L7" s="202"/>
      <c r="M7" s="202"/>
      <c r="N7" s="202"/>
      <c r="O7" s="202"/>
      <c r="P7" s="547"/>
      <c r="S7" s="560"/>
      <c r="T7" s="560"/>
      <c r="U7" s="560"/>
      <c r="V7" s="560"/>
      <c r="W7" s="560"/>
      <c r="X7" s="560"/>
    </row>
    <row r="8" spans="1:24" ht="37.5" customHeight="1" x14ac:dyDescent="0.25">
      <c r="A8" s="509"/>
      <c r="B8" s="302"/>
      <c r="C8" s="1035"/>
      <c r="D8" s="1036"/>
      <c r="E8" s="1037"/>
      <c r="F8" s="662" t="s">
        <v>81</v>
      </c>
      <c r="G8" s="662" t="s">
        <v>81</v>
      </c>
      <c r="H8" s="662" t="s">
        <v>82</v>
      </c>
      <c r="I8" s="663" t="s">
        <v>82</v>
      </c>
      <c r="J8" s="238"/>
      <c r="K8" s="238"/>
      <c r="L8" s="202"/>
      <c r="M8" s="202"/>
      <c r="N8" s="202"/>
      <c r="O8" s="202"/>
      <c r="P8" s="547"/>
    </row>
    <row r="9" spans="1:24" ht="30.75" customHeight="1" thickBot="1" x14ac:dyDescent="0.3">
      <c r="A9" s="509"/>
      <c r="B9" s="302"/>
      <c r="C9" s="1038" t="s">
        <v>190</v>
      </c>
      <c r="D9" s="1039"/>
      <c r="E9" s="1040"/>
      <c r="F9" s="141">
        <f>IF($C$9="","",IF($C$9="Velg kategori","",VLOOKUP($C$9,key!$A$22:$B$28,2,FALSE)))</f>
        <v>0</v>
      </c>
      <c r="G9" s="141">
        <f>IF($C$9="","",IF($C$9="Velg kategori","",VLOOKUP($C$9,key!$A$22:$D$28,4,FALSE)))</f>
        <v>0</v>
      </c>
      <c r="H9" s="141">
        <f>IF($C$9="","",IF($C$9="Velg kategori","",VLOOKUP($C$9,key!$E$22:$F$28,2,FALSE)))</f>
        <v>0</v>
      </c>
      <c r="I9" s="142">
        <f>IF($C$9="","",IF($C$9="Velg kategori","",VLOOKUP($C$9,key!$G$22:$H$28,2,FALSE)))</f>
        <v>0</v>
      </c>
      <c r="J9" s="238"/>
      <c r="K9" s="238"/>
      <c r="L9" s="202"/>
      <c r="M9" s="202"/>
      <c r="N9" s="202"/>
      <c r="O9" s="202"/>
      <c r="P9" s="547"/>
    </row>
    <row r="10" spans="1:24" ht="19.5" customHeight="1" thickBot="1" x14ac:dyDescent="0.3">
      <c r="A10" s="509"/>
      <c r="B10" s="302"/>
      <c r="C10" s="1028"/>
      <c r="D10" s="1028"/>
      <c r="E10" s="300"/>
      <c r="F10" s="300"/>
      <c r="G10" s="300"/>
      <c r="H10" s="300"/>
      <c r="I10" s="303"/>
      <c r="J10" s="303"/>
      <c r="K10" s="303"/>
      <c r="L10" s="303"/>
      <c r="M10" s="303"/>
      <c r="N10" s="303"/>
      <c r="O10" s="303"/>
      <c r="P10" s="547"/>
    </row>
    <row r="11" spans="1:24" ht="61.5" customHeight="1" x14ac:dyDescent="0.25">
      <c r="A11" s="509"/>
      <c r="B11" s="302"/>
      <c r="C11" s="1024" t="s">
        <v>412</v>
      </c>
      <c r="D11" s="1025"/>
      <c r="E11" s="1025"/>
      <c r="F11" s="1025"/>
      <c r="G11" s="1025"/>
      <c r="H11" s="1025"/>
      <c r="I11" s="1026"/>
      <c r="J11" s="202"/>
      <c r="K11" s="202"/>
      <c r="L11" s="202"/>
      <c r="M11" s="202"/>
      <c r="N11" s="202"/>
      <c r="O11" s="202"/>
      <c r="P11" s="547"/>
    </row>
    <row r="12" spans="1:24" ht="30.75" customHeight="1" x14ac:dyDescent="0.25">
      <c r="A12" s="509"/>
      <c r="B12" s="302"/>
      <c r="C12" s="988" t="s">
        <v>238</v>
      </c>
      <c r="D12" s="989"/>
      <c r="E12" s="989"/>
      <c r="F12" s="989"/>
      <c r="G12" s="989"/>
      <c r="H12" s="638"/>
      <c r="I12" s="497" t="s">
        <v>78</v>
      </c>
      <c r="J12" s="202"/>
      <c r="K12" s="202"/>
      <c r="L12" s="202"/>
      <c r="M12" s="202"/>
      <c r="N12" s="202"/>
      <c r="O12" s="202"/>
      <c r="P12" s="547"/>
    </row>
    <row r="13" spans="1:24" ht="31.5" customHeight="1" x14ac:dyDescent="0.25">
      <c r="A13" s="509"/>
      <c r="B13" s="302"/>
      <c r="C13" s="988" t="s">
        <v>239</v>
      </c>
      <c r="D13" s="989"/>
      <c r="E13" s="989"/>
      <c r="F13" s="989"/>
      <c r="G13" s="989"/>
      <c r="H13" s="638"/>
      <c r="I13" s="497" t="s">
        <v>96</v>
      </c>
      <c r="J13" s="202"/>
      <c r="K13" s="202"/>
      <c r="L13" s="202"/>
      <c r="M13" s="202"/>
      <c r="N13" s="202"/>
      <c r="O13" s="202"/>
      <c r="P13" s="547"/>
    </row>
    <row r="14" spans="1:24" ht="29.25" customHeight="1" x14ac:dyDescent="0.25">
      <c r="A14" s="509"/>
      <c r="B14" s="302"/>
      <c r="C14" s="990" t="s">
        <v>240</v>
      </c>
      <c r="D14" s="991"/>
      <c r="E14" s="991"/>
      <c r="F14" s="991"/>
      <c r="G14" s="991"/>
      <c r="H14" s="638"/>
      <c r="I14" s="495" t="s">
        <v>96</v>
      </c>
      <c r="J14" s="202"/>
      <c r="K14" s="202"/>
      <c r="L14" s="202"/>
      <c r="M14" s="202"/>
      <c r="N14" s="202"/>
      <c r="O14" s="202"/>
      <c r="P14" s="547"/>
    </row>
    <row r="15" spans="1:24" ht="29.25" customHeight="1" x14ac:dyDescent="0.25">
      <c r="A15" s="509"/>
      <c r="B15" s="302"/>
      <c r="C15" s="990" t="s">
        <v>302</v>
      </c>
      <c r="D15" s="991"/>
      <c r="E15" s="991"/>
      <c r="F15" s="991"/>
      <c r="G15" s="991"/>
      <c r="H15" s="639"/>
      <c r="I15" s="495" t="s">
        <v>96</v>
      </c>
      <c r="J15" s="202"/>
      <c r="K15" s="202"/>
      <c r="L15" s="202"/>
      <c r="M15" s="202"/>
      <c r="N15" s="202"/>
      <c r="O15" s="202"/>
      <c r="P15" s="547"/>
    </row>
    <row r="16" spans="1:24" ht="33" customHeight="1" thickBot="1" x14ac:dyDescent="0.3">
      <c r="A16" s="509"/>
      <c r="B16" s="302"/>
      <c r="C16" s="992" t="s">
        <v>413</v>
      </c>
      <c r="D16" s="993"/>
      <c r="E16" s="993"/>
      <c r="F16" s="993"/>
      <c r="G16" s="993"/>
      <c r="H16" s="388"/>
      <c r="I16" s="246" t="s">
        <v>241</v>
      </c>
      <c r="J16" s="202"/>
      <c r="K16" s="202"/>
      <c r="L16" s="202"/>
      <c r="M16" s="202"/>
      <c r="N16" s="202"/>
      <c r="O16" s="202"/>
      <c r="P16" s="547"/>
    </row>
    <row r="17" spans="1:16" x14ac:dyDescent="0.25">
      <c r="A17" s="509"/>
      <c r="B17" s="302"/>
      <c r="C17" s="202"/>
      <c r="D17" s="202"/>
      <c r="E17" s="202"/>
      <c r="F17" s="202"/>
      <c r="G17" s="202"/>
      <c r="H17" s="202"/>
      <c r="I17" s="202"/>
      <c r="J17" s="202"/>
      <c r="K17" s="202"/>
      <c r="L17" s="202"/>
      <c r="M17" s="202"/>
      <c r="N17" s="202"/>
      <c r="O17" s="202"/>
      <c r="P17" s="547"/>
    </row>
    <row r="18" spans="1:16" ht="43.5" customHeight="1" thickBot="1" x14ac:dyDescent="0.3">
      <c r="A18" s="509"/>
      <c r="B18" s="302"/>
      <c r="C18" s="1041" t="s">
        <v>246</v>
      </c>
      <c r="D18" s="1041"/>
      <c r="E18" s="1041"/>
      <c r="F18" s="1041"/>
      <c r="G18" s="1041"/>
      <c r="H18" s="1041"/>
      <c r="I18" s="1041"/>
      <c r="J18" s="1041"/>
      <c r="K18" s="1041"/>
      <c r="L18" s="202"/>
      <c r="M18" s="202"/>
      <c r="N18" s="202"/>
      <c r="O18" s="202"/>
      <c r="P18" s="547"/>
    </row>
    <row r="19" spans="1:16" x14ac:dyDescent="0.25">
      <c r="A19" s="509"/>
      <c r="B19" s="302"/>
      <c r="C19" s="1047" t="s">
        <v>237</v>
      </c>
      <c r="D19" s="1053" t="s">
        <v>120</v>
      </c>
      <c r="E19" s="1054"/>
      <c r="F19" s="1054" t="s">
        <v>34</v>
      </c>
      <c r="G19" s="1057"/>
      <c r="H19" s="1042" t="s">
        <v>242</v>
      </c>
      <c r="I19" s="1042"/>
      <c r="J19" s="1042" t="s">
        <v>244</v>
      </c>
      <c r="K19" s="1043"/>
      <c r="L19" s="202"/>
      <c r="M19" s="202"/>
      <c r="N19" s="202"/>
      <c r="O19" s="202"/>
      <c r="P19" s="547"/>
    </row>
    <row r="20" spans="1:16" x14ac:dyDescent="0.25">
      <c r="A20" s="509"/>
      <c r="B20" s="302"/>
      <c r="C20" s="1048"/>
      <c r="D20" s="1055"/>
      <c r="E20" s="1056"/>
      <c r="F20" s="1056"/>
      <c r="G20" s="1058"/>
      <c r="H20" s="1046" t="s">
        <v>243</v>
      </c>
      <c r="I20" s="1046"/>
      <c r="J20" s="1046" t="s">
        <v>245</v>
      </c>
      <c r="K20" s="1059"/>
      <c r="L20" s="202"/>
      <c r="M20" s="202"/>
      <c r="N20" s="202"/>
      <c r="O20" s="202"/>
      <c r="P20" s="547"/>
    </row>
    <row r="21" spans="1:16" x14ac:dyDescent="0.25">
      <c r="A21" s="509"/>
      <c r="B21" s="302"/>
      <c r="C21" s="1048"/>
      <c r="D21" s="1052" t="s">
        <v>65</v>
      </c>
      <c r="E21" s="1051"/>
      <c r="F21" s="1051" t="s">
        <v>65</v>
      </c>
      <c r="G21" s="1051"/>
      <c r="H21" s="1051" t="s">
        <v>66</v>
      </c>
      <c r="I21" s="1051"/>
      <c r="J21" s="1051" t="s">
        <v>66</v>
      </c>
      <c r="K21" s="1060"/>
      <c r="L21" s="202"/>
      <c r="M21" s="202"/>
      <c r="N21" s="202"/>
      <c r="O21" s="202"/>
      <c r="P21" s="547"/>
    </row>
    <row r="22" spans="1:16" ht="15.75" thickBot="1" x14ac:dyDescent="0.3">
      <c r="A22" s="509"/>
      <c r="B22" s="302"/>
      <c r="C22" s="1049"/>
      <c r="D22" s="247" t="s">
        <v>97</v>
      </c>
      <c r="E22" s="248" t="s">
        <v>98</v>
      </c>
      <c r="F22" s="248" t="s">
        <v>97</v>
      </c>
      <c r="G22" s="248" t="s">
        <v>99</v>
      </c>
      <c r="H22" s="248" t="s">
        <v>97</v>
      </c>
      <c r="I22" s="248" t="s">
        <v>99</v>
      </c>
      <c r="J22" s="248" t="s">
        <v>97</v>
      </c>
      <c r="K22" s="249" t="s">
        <v>99</v>
      </c>
      <c r="L22" s="202"/>
      <c r="M22" s="202"/>
      <c r="N22" s="202"/>
      <c r="O22" s="202"/>
      <c r="P22" s="547"/>
    </row>
    <row r="23" spans="1:16" x14ac:dyDescent="0.25">
      <c r="A23" s="509"/>
      <c r="B23" s="302"/>
      <c r="C23" s="502" t="s">
        <v>67</v>
      </c>
      <c r="D23" s="250">
        <v>1</v>
      </c>
      <c r="E23" s="234">
        <v>1.5</v>
      </c>
      <c r="F23" s="251">
        <v>4</v>
      </c>
      <c r="G23" s="251">
        <v>6</v>
      </c>
      <c r="H23" s="503">
        <v>75</v>
      </c>
      <c r="I23" s="503">
        <v>100</v>
      </c>
      <c r="J23" s="503" t="s">
        <v>414</v>
      </c>
      <c r="K23" s="672" t="s">
        <v>414</v>
      </c>
      <c r="L23" s="202"/>
      <c r="M23" s="202"/>
      <c r="N23" s="202"/>
      <c r="O23" s="202"/>
      <c r="P23" s="547"/>
    </row>
    <row r="24" spans="1:16" x14ac:dyDescent="0.25">
      <c r="A24" s="509"/>
      <c r="B24" s="302"/>
      <c r="C24" s="502" t="s">
        <v>68</v>
      </c>
      <c r="D24" s="250">
        <v>1.5</v>
      </c>
      <c r="E24" s="234">
        <v>2</v>
      </c>
      <c r="F24" s="251">
        <v>6</v>
      </c>
      <c r="G24" s="251">
        <v>9</v>
      </c>
      <c r="H24" s="503">
        <v>100</v>
      </c>
      <c r="I24" s="503">
        <v>150</v>
      </c>
      <c r="J24" s="672" t="s">
        <v>414</v>
      </c>
      <c r="K24" s="672" t="s">
        <v>414</v>
      </c>
      <c r="L24" s="202"/>
      <c r="M24" s="202"/>
      <c r="N24" s="202"/>
      <c r="O24" s="202"/>
      <c r="P24" s="547"/>
    </row>
    <row r="25" spans="1:16" ht="15.75" thickBot="1" x14ac:dyDescent="0.3">
      <c r="A25" s="509"/>
      <c r="B25" s="302"/>
      <c r="C25" s="252" t="s">
        <v>69</v>
      </c>
      <c r="D25" s="261">
        <v>2</v>
      </c>
      <c r="E25" s="262">
        <v>3</v>
      </c>
      <c r="F25" s="263">
        <v>8</v>
      </c>
      <c r="G25" s="263">
        <v>12</v>
      </c>
      <c r="H25" s="264">
        <v>175</v>
      </c>
      <c r="I25" s="264">
        <v>250</v>
      </c>
      <c r="J25" s="672" t="s">
        <v>414</v>
      </c>
      <c r="K25" s="672" t="s">
        <v>414</v>
      </c>
      <c r="L25" s="202"/>
      <c r="M25" s="202"/>
      <c r="N25" s="202"/>
      <c r="O25" s="202"/>
      <c r="P25" s="547"/>
    </row>
    <row r="26" spans="1:16" x14ac:dyDescent="0.25">
      <c r="A26" s="509"/>
      <c r="B26" s="302"/>
      <c r="C26" s="1050" t="s">
        <v>394</v>
      </c>
      <c r="D26" s="1050"/>
      <c r="E26" s="1050"/>
      <c r="F26" s="1050"/>
      <c r="G26" s="1050"/>
      <c r="H26" s="1050"/>
      <c r="I26" s="1050"/>
      <c r="J26" s="1050"/>
      <c r="K26" s="1050"/>
      <c r="L26" s="202"/>
      <c r="M26" s="202"/>
      <c r="N26" s="202"/>
      <c r="O26" s="202"/>
      <c r="P26" s="547"/>
    </row>
    <row r="27" spans="1:16" ht="9" customHeight="1" x14ac:dyDescent="0.25">
      <c r="A27" s="509"/>
      <c r="B27" s="302"/>
      <c r="C27" s="238"/>
      <c r="D27" s="238"/>
      <c r="E27" s="238"/>
      <c r="F27" s="238"/>
      <c r="G27" s="238"/>
      <c r="H27" s="238"/>
      <c r="I27" s="238"/>
      <c r="J27" s="238"/>
      <c r="K27" s="238"/>
      <c r="L27" s="202"/>
      <c r="M27" s="202"/>
      <c r="N27" s="202"/>
      <c r="O27" s="202"/>
      <c r="P27" s="547"/>
    </row>
    <row r="28" spans="1:16" ht="42" customHeight="1" thickBot="1" x14ac:dyDescent="0.3">
      <c r="A28" s="509"/>
      <c r="B28" s="302"/>
      <c r="C28" s="1073" t="s">
        <v>247</v>
      </c>
      <c r="D28" s="1073"/>
      <c r="E28" s="1073"/>
      <c r="F28" s="1073"/>
      <c r="G28" s="1073"/>
      <c r="H28" s="1073"/>
      <c r="I28" s="1073"/>
      <c r="J28" s="1073"/>
      <c r="K28" s="1073"/>
      <c r="L28" s="1073"/>
      <c r="M28" s="1073"/>
      <c r="N28" s="1073"/>
      <c r="O28" s="1073"/>
      <c r="P28" s="547"/>
    </row>
    <row r="29" spans="1:16" ht="18" customHeight="1" x14ac:dyDescent="0.25">
      <c r="A29" s="509"/>
      <c r="B29" s="302"/>
      <c r="C29" s="1061" t="s">
        <v>248</v>
      </c>
      <c r="D29" s="1081" t="s">
        <v>249</v>
      </c>
      <c r="E29" s="1044" t="s">
        <v>250</v>
      </c>
      <c r="F29" s="1044"/>
      <c r="G29" s="1064" t="s">
        <v>251</v>
      </c>
      <c r="H29" s="1065"/>
      <c r="I29" s="1066"/>
      <c r="J29" s="1088" t="s">
        <v>252</v>
      </c>
      <c r="K29" s="1089"/>
      <c r="L29" s="1089"/>
      <c r="M29" s="1089"/>
      <c r="N29" s="1089"/>
      <c r="O29" s="1090"/>
      <c r="P29" s="547"/>
    </row>
    <row r="30" spans="1:16" ht="22.5" customHeight="1" x14ac:dyDescent="0.25">
      <c r="A30" s="509"/>
      <c r="B30" s="302"/>
      <c r="C30" s="1062"/>
      <c r="D30" s="1082"/>
      <c r="E30" s="1045"/>
      <c r="F30" s="1045"/>
      <c r="G30" s="1067"/>
      <c r="H30" s="1068"/>
      <c r="I30" s="1069"/>
      <c r="J30" s="1091" t="s">
        <v>253</v>
      </c>
      <c r="K30" s="1092"/>
      <c r="L30" s="1092"/>
      <c r="M30" s="1092"/>
      <c r="N30" s="1092"/>
      <c r="O30" s="1093"/>
      <c r="P30" s="547"/>
    </row>
    <row r="31" spans="1:16" ht="18.75" thickBot="1" x14ac:dyDescent="0.3">
      <c r="A31" s="509"/>
      <c r="B31" s="302"/>
      <c r="C31" s="1063"/>
      <c r="D31" s="1083"/>
      <c r="E31" s="671" t="s">
        <v>397</v>
      </c>
      <c r="F31" s="254" t="s">
        <v>395</v>
      </c>
      <c r="G31" s="1070"/>
      <c r="H31" s="1071"/>
      <c r="I31" s="1072"/>
      <c r="J31" s="1096">
        <v>1</v>
      </c>
      <c r="K31" s="1087"/>
      <c r="L31" s="1087">
        <v>2</v>
      </c>
      <c r="M31" s="1087"/>
      <c r="N31" s="1094">
        <v>3</v>
      </c>
      <c r="O31" s="1095"/>
      <c r="P31" s="547"/>
    </row>
    <row r="32" spans="1:16" ht="37.35" customHeight="1" x14ac:dyDescent="0.25">
      <c r="A32" s="509"/>
      <c r="B32" s="302"/>
      <c r="C32" s="255" t="s">
        <v>254</v>
      </c>
      <c r="D32" s="389"/>
      <c r="E32" s="443">
        <v>0.1</v>
      </c>
      <c r="F32" s="256">
        <v>0.3</v>
      </c>
      <c r="G32" s="1084" t="s">
        <v>260</v>
      </c>
      <c r="H32" s="1085"/>
      <c r="I32" s="1086"/>
      <c r="J32" s="392"/>
      <c r="K32" s="443">
        <v>1</v>
      </c>
      <c r="L32" s="392"/>
      <c r="M32" s="443">
        <v>2</v>
      </c>
      <c r="N32" s="392"/>
      <c r="O32" s="195">
        <v>2.5</v>
      </c>
      <c r="P32" s="547"/>
    </row>
    <row r="33" spans="1:16" ht="35.1" customHeight="1" x14ac:dyDescent="0.25">
      <c r="A33" s="509"/>
      <c r="B33" s="302"/>
      <c r="C33" s="257" t="s">
        <v>255</v>
      </c>
      <c r="D33" s="390"/>
      <c r="E33" s="444">
        <v>0.3</v>
      </c>
      <c r="F33" s="258">
        <v>0.4</v>
      </c>
      <c r="G33" s="1074" t="s">
        <v>262</v>
      </c>
      <c r="H33" s="1075"/>
      <c r="I33" s="1076"/>
      <c r="J33" s="393"/>
      <c r="K33" s="444">
        <v>1</v>
      </c>
      <c r="L33" s="393"/>
      <c r="M33" s="444">
        <v>1.8</v>
      </c>
      <c r="N33" s="393"/>
      <c r="O33" s="186">
        <v>2</v>
      </c>
      <c r="P33" s="547"/>
    </row>
    <row r="34" spans="1:16" ht="41.1" customHeight="1" x14ac:dyDescent="0.25">
      <c r="A34" s="509"/>
      <c r="B34" s="302"/>
      <c r="C34" s="257" t="s">
        <v>256</v>
      </c>
      <c r="D34" s="390"/>
      <c r="E34" s="444">
        <v>0.5</v>
      </c>
      <c r="F34" s="480">
        <v>0.5</v>
      </c>
      <c r="G34" s="1074" t="s">
        <v>261</v>
      </c>
      <c r="H34" s="1075"/>
      <c r="I34" s="1076"/>
      <c r="J34" s="393"/>
      <c r="K34" s="444">
        <v>1</v>
      </c>
      <c r="L34" s="393"/>
      <c r="M34" s="444">
        <v>1.5</v>
      </c>
      <c r="N34" s="393"/>
      <c r="O34" s="186">
        <v>1.8</v>
      </c>
      <c r="P34" s="547"/>
    </row>
    <row r="35" spans="1:16" ht="35.1" customHeight="1" x14ac:dyDescent="0.25">
      <c r="A35" s="509"/>
      <c r="B35" s="302"/>
      <c r="C35" s="257" t="s">
        <v>257</v>
      </c>
      <c r="D35" s="390"/>
      <c r="E35" s="444">
        <v>0.7</v>
      </c>
      <c r="F35" s="258">
        <v>0.7</v>
      </c>
      <c r="G35" s="1074" t="s">
        <v>264</v>
      </c>
      <c r="H35" s="1075"/>
      <c r="I35" s="1076"/>
      <c r="J35" s="393"/>
      <c r="K35" s="444">
        <v>1</v>
      </c>
      <c r="L35" s="393"/>
      <c r="M35" s="444">
        <v>1.3</v>
      </c>
      <c r="N35" s="393"/>
      <c r="O35" s="186">
        <v>1.4</v>
      </c>
      <c r="P35" s="547"/>
    </row>
    <row r="36" spans="1:16" ht="35.1" customHeight="1" x14ac:dyDescent="0.25">
      <c r="A36" s="509"/>
      <c r="B36" s="302"/>
      <c r="C36" s="257" t="s">
        <v>258</v>
      </c>
      <c r="D36" s="390"/>
      <c r="E36" s="444">
        <v>0.9</v>
      </c>
      <c r="F36" s="258">
        <v>0.9</v>
      </c>
      <c r="G36" s="1074" t="s">
        <v>416</v>
      </c>
      <c r="H36" s="1075"/>
      <c r="I36" s="1076"/>
      <c r="J36" s="393"/>
      <c r="K36" s="444">
        <v>1</v>
      </c>
      <c r="L36" s="393"/>
      <c r="M36" s="444">
        <v>1.1000000000000001</v>
      </c>
      <c r="N36" s="393"/>
      <c r="O36" s="186">
        <v>1.1000000000000001</v>
      </c>
      <c r="P36" s="547"/>
    </row>
    <row r="37" spans="1:16" ht="36.75" customHeight="1" thickBot="1" x14ac:dyDescent="0.3">
      <c r="A37" s="509"/>
      <c r="B37" s="302"/>
      <c r="C37" s="259" t="s">
        <v>259</v>
      </c>
      <c r="D37" s="391"/>
      <c r="E37" s="445">
        <v>1</v>
      </c>
      <c r="F37" s="260">
        <v>1</v>
      </c>
      <c r="G37" s="1077" t="s">
        <v>265</v>
      </c>
      <c r="H37" s="1078"/>
      <c r="I37" s="1079"/>
      <c r="J37" s="394"/>
      <c r="K37" s="445">
        <v>1</v>
      </c>
      <c r="L37" s="394"/>
      <c r="M37" s="445">
        <v>1</v>
      </c>
      <c r="N37" s="394"/>
      <c r="O37" s="190">
        <v>1</v>
      </c>
      <c r="P37" s="547"/>
    </row>
    <row r="38" spans="1:16" x14ac:dyDescent="0.25">
      <c r="A38" s="509"/>
      <c r="B38" s="302"/>
      <c r="C38" s="1050" t="s">
        <v>415</v>
      </c>
      <c r="D38" s="1080"/>
      <c r="E38" s="1080"/>
      <c r="F38" s="1080"/>
      <c r="G38" s="1080"/>
      <c r="H38" s="1080"/>
      <c r="I38" s="1080"/>
      <c r="J38" s="202"/>
      <c r="K38" s="202"/>
      <c r="L38" s="202"/>
      <c r="M38" s="202"/>
      <c r="N38" s="202"/>
      <c r="O38" s="202"/>
      <c r="P38" s="547"/>
    </row>
    <row r="39" spans="1:16" x14ac:dyDescent="0.25">
      <c r="A39" s="509"/>
      <c r="B39" s="302"/>
      <c r="C39" s="238" t="s">
        <v>396</v>
      </c>
      <c r="D39" s="237"/>
      <c r="E39" s="237"/>
      <c r="F39" s="237"/>
      <c r="G39" s="237"/>
      <c r="H39" s="237"/>
      <c r="I39" s="237"/>
      <c r="J39" s="202"/>
      <c r="K39" s="202"/>
      <c r="L39" s="202"/>
      <c r="M39" s="202"/>
      <c r="N39" s="202"/>
      <c r="O39" s="202"/>
      <c r="P39" s="547"/>
    </row>
    <row r="40" spans="1:16" ht="15.75" thickBot="1" x14ac:dyDescent="0.3">
      <c r="A40" s="509"/>
      <c r="B40" s="302"/>
      <c r="C40" s="237"/>
      <c r="D40" s="237"/>
      <c r="E40" s="237"/>
      <c r="F40" s="237"/>
      <c r="G40" s="237"/>
      <c r="H40" s="237"/>
      <c r="I40" s="237"/>
      <c r="J40" s="202"/>
      <c r="K40" s="202"/>
      <c r="L40" s="202"/>
      <c r="M40" s="202"/>
      <c r="N40" s="202"/>
      <c r="O40" s="202"/>
      <c r="P40" s="547"/>
    </row>
    <row r="41" spans="1:16" ht="40.5" customHeight="1" x14ac:dyDescent="0.25">
      <c r="A41" s="509"/>
      <c r="B41" s="302"/>
      <c r="C41" s="971" t="s">
        <v>382</v>
      </c>
      <c r="D41" s="972"/>
      <c r="E41" s="972"/>
      <c r="F41" s="972"/>
      <c r="G41" s="973"/>
      <c r="H41" s="292"/>
      <c r="I41" s="477"/>
      <c r="J41" s="202"/>
      <c r="K41" s="202"/>
      <c r="L41" s="202"/>
      <c r="M41" s="202"/>
      <c r="N41" s="202"/>
      <c r="O41" s="202"/>
      <c r="P41" s="547"/>
    </row>
    <row r="42" spans="1:16" ht="29.25" customHeight="1" x14ac:dyDescent="0.25">
      <c r="A42" s="509"/>
      <c r="B42" s="302"/>
      <c r="C42" s="969" t="s">
        <v>266</v>
      </c>
      <c r="D42" s="970"/>
      <c r="E42" s="970"/>
      <c r="F42" s="974" t="str">
        <f>IF(D32="Yes",E32,IF(D33="Yes",E33,IF(D34="Yes",E34,IF(D35="Yes",E35,IF(D36="Yes",E36,IF(D37="Yes",E37,"Must enter a value!"))))))</f>
        <v>Must enter a value!</v>
      </c>
      <c r="G42" s="975"/>
      <c r="H42" s="301"/>
      <c r="I42" s="202"/>
      <c r="J42" s="202"/>
      <c r="K42" s="202"/>
      <c r="L42" s="202"/>
      <c r="M42" s="202"/>
      <c r="N42" s="202"/>
      <c r="O42" s="202"/>
      <c r="P42" s="547"/>
    </row>
    <row r="43" spans="1:16" ht="29.25" customHeight="1" x14ac:dyDescent="0.25">
      <c r="A43" s="509"/>
      <c r="B43" s="302"/>
      <c r="C43" s="969" t="s">
        <v>267</v>
      </c>
      <c r="D43" s="970"/>
      <c r="E43" s="970"/>
      <c r="F43" s="974" t="str">
        <f>IF(D32="yes",F32,IF(D33="yes",F33,IF(D34="yes",F34,IF(D35="yes",F35,IF(D36="yes",F36,IF(D37="yes",F37,"Must enter a value!"))))))</f>
        <v>Must enter a value!</v>
      </c>
      <c r="G43" s="975"/>
      <c r="H43" s="299"/>
      <c r="I43" s="202"/>
      <c r="J43" s="202"/>
      <c r="K43" s="202"/>
      <c r="L43" s="202"/>
      <c r="M43" s="202"/>
      <c r="N43" s="202"/>
      <c r="O43" s="202"/>
      <c r="P43" s="547"/>
    </row>
    <row r="44" spans="1:16" ht="29.25" customHeight="1" x14ac:dyDescent="0.25">
      <c r="A44" s="509"/>
      <c r="B44" s="302"/>
      <c r="C44" s="969" t="s">
        <v>268</v>
      </c>
      <c r="D44" s="970"/>
      <c r="E44" s="970"/>
      <c r="F44" s="998" t="str">
        <f>IF($J$32="yes",$K$32,IF($J$33="yes",$K$33,IF($J$34="yes",$K$34,IF($J$35="yes",$K$35,IF($J$36="yes",$K$36,IF($J$37="yes",$K$37,IF($L$32="yes",$M$32,IF($L$33="yes",$M$33,IF($L$34="yes",$M$34,IF($L$35="yes",$M$35,IF($L$36="yes",$M$36,IF($L$37="yes",$M$37,IF($N$32="yes",$O$32,IF($N$33="yes",$O$33,IF($N$34="yes",$O$34,IF($N$35="yes",$O$35,IF($N$36="yes",$O$36,IF($N$37="yes",$O$37,"Must enter a value!"))))))))))))))))))</f>
        <v>Must enter a value!</v>
      </c>
      <c r="G44" s="999"/>
      <c r="H44" s="202"/>
      <c r="I44" s="202"/>
      <c r="J44" s="202"/>
      <c r="K44" s="202"/>
      <c r="L44" s="202"/>
      <c r="M44" s="202"/>
      <c r="N44" s="202"/>
      <c r="O44" s="202"/>
      <c r="P44" s="547"/>
    </row>
    <row r="45" spans="1:16" ht="29.25" customHeight="1" x14ac:dyDescent="0.25">
      <c r="A45" s="509"/>
      <c r="B45" s="302"/>
      <c r="C45" s="969" t="s">
        <v>417</v>
      </c>
      <c r="D45" s="970"/>
      <c r="E45" s="970"/>
      <c r="F45" s="974">
        <f>H16</f>
        <v>0</v>
      </c>
      <c r="G45" s="975"/>
      <c r="H45" s="498"/>
      <c r="I45" s="477"/>
      <c r="J45" s="202"/>
      <c r="K45" s="202"/>
      <c r="L45" s="202"/>
      <c r="M45" s="202"/>
      <c r="N45" s="202"/>
      <c r="O45" s="202"/>
      <c r="P45" s="547"/>
    </row>
    <row r="46" spans="1:16" ht="29.25" customHeight="1" x14ac:dyDescent="0.25">
      <c r="A46" s="509"/>
      <c r="B46" s="302"/>
      <c r="C46" s="981" t="s">
        <v>269</v>
      </c>
      <c r="D46" s="982"/>
      <c r="E46" s="982"/>
      <c r="F46" s="1000" t="str">
        <f>IF($F$42="Must enter a value!","Chose mixing condition",IF($F$44="Must give a value!","Chose chambers in series ",$F$42*$F$44*$F$45))</f>
        <v>Chose mixing condition</v>
      </c>
      <c r="G46" s="1001"/>
      <c r="H46" s="498"/>
      <c r="I46" s="202"/>
      <c r="J46" s="202"/>
      <c r="K46" s="202"/>
      <c r="L46" s="202"/>
      <c r="M46" s="202"/>
      <c r="N46" s="202"/>
      <c r="O46" s="202"/>
      <c r="P46" s="547"/>
    </row>
    <row r="47" spans="1:16" ht="29.25" customHeight="1" thickBot="1" x14ac:dyDescent="0.3">
      <c r="A47" s="509"/>
      <c r="B47" s="302"/>
      <c r="C47" s="979" t="s">
        <v>270</v>
      </c>
      <c r="D47" s="980"/>
      <c r="E47" s="980"/>
      <c r="F47" s="1002" t="str">
        <f>IF($F$43="Must enter a value!","Chose mixing condition",IF($F$44="Must enter a value!","Chose Chambers in series",$F$43*$F$44*$F$45))</f>
        <v>Chose mixing condition</v>
      </c>
      <c r="G47" s="1003"/>
      <c r="H47" s="498"/>
      <c r="I47" s="202"/>
      <c r="J47" s="202"/>
      <c r="K47" s="202"/>
      <c r="L47" s="202"/>
      <c r="M47" s="202"/>
      <c r="N47" s="202"/>
      <c r="O47" s="202"/>
      <c r="P47" s="547"/>
    </row>
    <row r="48" spans="1:16" ht="18.75" customHeight="1" thickBot="1" x14ac:dyDescent="0.3">
      <c r="A48" s="509"/>
      <c r="B48" s="302"/>
      <c r="C48" s="395"/>
      <c r="D48" s="395"/>
      <c r="E48" s="395"/>
      <c r="F48" s="396"/>
      <c r="G48" s="396"/>
      <c r="H48" s="498"/>
      <c r="I48" s="202"/>
      <c r="J48" s="202"/>
      <c r="K48" s="202"/>
      <c r="L48" s="202"/>
      <c r="M48" s="202"/>
      <c r="N48" s="202"/>
      <c r="O48" s="202"/>
      <c r="P48" s="547"/>
    </row>
    <row r="49" spans="1:16" ht="48.75" customHeight="1" thickBot="1" x14ac:dyDescent="0.3">
      <c r="A49" s="509"/>
      <c r="B49" s="302"/>
      <c r="C49" s="983" t="s">
        <v>381</v>
      </c>
      <c r="D49" s="984"/>
      <c r="E49" s="984"/>
      <c r="F49" s="984"/>
      <c r="G49" s="985"/>
      <c r="H49" s="215"/>
      <c r="I49" s="215"/>
      <c r="J49" s="202"/>
      <c r="K49" s="202"/>
      <c r="L49" s="202"/>
      <c r="M49" s="202"/>
      <c r="N49" s="202"/>
      <c r="O49" s="202"/>
      <c r="P49" s="547"/>
    </row>
    <row r="50" spans="1:16" ht="54.95" customHeight="1" thickBot="1" x14ac:dyDescent="0.3">
      <c r="A50" s="509"/>
      <c r="B50" s="302"/>
      <c r="C50" s="1012" t="s">
        <v>271</v>
      </c>
      <c r="D50" s="1013"/>
      <c r="E50" s="976" t="s">
        <v>280</v>
      </c>
      <c r="F50" s="977"/>
      <c r="G50" s="978"/>
      <c r="H50" s="202"/>
      <c r="I50" s="202"/>
      <c r="J50" s="202"/>
      <c r="K50" s="202"/>
      <c r="L50" s="202"/>
      <c r="M50" s="202"/>
      <c r="N50" s="202"/>
      <c r="O50" s="202"/>
      <c r="P50" s="547"/>
    </row>
    <row r="51" spans="1:16" s="245" customFormat="1" ht="17.25" customHeight="1" x14ac:dyDescent="0.25">
      <c r="A51" s="509"/>
      <c r="B51" s="303"/>
      <c r="C51" s="398" t="s">
        <v>418</v>
      </c>
      <c r="D51" s="399"/>
      <c r="E51" s="399"/>
      <c r="F51" s="399"/>
      <c r="G51" s="400"/>
      <c r="H51" s="202"/>
      <c r="I51" s="202"/>
      <c r="J51" s="202"/>
      <c r="K51" s="202"/>
      <c r="L51" s="202"/>
      <c r="M51" s="202"/>
      <c r="N51" s="202"/>
      <c r="O51" s="202"/>
      <c r="P51" s="547"/>
    </row>
    <row r="52" spans="1:16" s="245" customFormat="1" ht="17.25" customHeight="1" x14ac:dyDescent="0.25">
      <c r="A52" s="509"/>
      <c r="B52" s="303"/>
      <c r="C52" s="401" t="s">
        <v>272</v>
      </c>
      <c r="D52" s="397" t="s">
        <v>101</v>
      </c>
      <c r="E52" s="407" t="e">
        <f>IF(E50="through a combination of measurements and calculations (Cdose, Cout og TOC)",0.06*H12+0.36*H13+0.08*H13/H12-0.12,IF(E50="by measurements (Cdose, Cin og Cout)",H13-(H14/EXP(-E54*F47)),IF(E50="through model calculation (Cdose, TOC)",0.06*H12+0.36*H13+0.08*H13/H12-0.12,"")))</f>
        <v>#DIV/0!</v>
      </c>
      <c r="F52" s="397"/>
      <c r="G52" s="402"/>
      <c r="H52" s="202"/>
      <c r="I52" s="202"/>
      <c r="J52" s="202"/>
      <c r="K52" s="202"/>
      <c r="L52" s="202"/>
      <c r="M52" s="202"/>
      <c r="N52" s="202"/>
      <c r="O52" s="202"/>
      <c r="P52" s="547"/>
    </row>
    <row r="53" spans="1:16" s="245" customFormat="1" ht="17.25" customHeight="1" x14ac:dyDescent="0.25">
      <c r="A53" s="509"/>
      <c r="B53" s="303"/>
      <c r="C53" s="401" t="s">
        <v>273</v>
      </c>
      <c r="D53" s="397" t="s">
        <v>101</v>
      </c>
      <c r="E53" s="407" t="e">
        <f>IF((H13-E52)&lt;0,0,H13-E52)</f>
        <v>#DIV/0!</v>
      </c>
      <c r="F53" s="397"/>
      <c r="G53" s="402"/>
      <c r="H53" s="202"/>
      <c r="I53" s="202"/>
      <c r="J53" s="202"/>
      <c r="K53" s="202"/>
      <c r="L53" s="202"/>
      <c r="M53" s="202"/>
      <c r="N53" s="202"/>
      <c r="O53" s="202"/>
      <c r="P53" s="547"/>
    </row>
    <row r="54" spans="1:16" s="245" customFormat="1" ht="17.25" customHeight="1" x14ac:dyDescent="0.25">
      <c r="A54" s="509"/>
      <c r="B54" s="303"/>
      <c r="C54" s="401" t="s">
        <v>274</v>
      </c>
      <c r="D54" s="397"/>
      <c r="E54" s="407" t="e">
        <f>IF(E50="through a combination of measurements and calculations (Cdose, Cout og TOC)",-(LN(H14/E53))/F47,IF(E50="by measurements (Cdose, Cin og Cout)",-(LN(H14/H15))/F47,IF(E50="through model calculation (Cdose, TOC)",0.013*H12-0.04*E53-0.01*E53/H12+0.022,"")))</f>
        <v>#DIV/0!</v>
      </c>
      <c r="F54" s="397"/>
      <c r="G54" s="402"/>
      <c r="H54" s="202"/>
      <c r="I54" s="477"/>
      <c r="J54" s="202"/>
      <c r="K54" s="202"/>
      <c r="L54" s="202"/>
      <c r="M54" s="202"/>
      <c r="N54" s="202"/>
      <c r="O54" s="202"/>
      <c r="P54" s="547"/>
    </row>
    <row r="55" spans="1:16" s="245" customFormat="1" ht="28.5" customHeight="1" thickBot="1" x14ac:dyDescent="0.3">
      <c r="A55" s="509"/>
      <c r="B55" s="303"/>
      <c r="C55" s="403" t="s">
        <v>275</v>
      </c>
      <c r="D55" s="406" t="s">
        <v>100</v>
      </c>
      <c r="E55" s="405" t="e">
        <f>(E53/E54)*(1-EXP(-E54*F46))</f>
        <v>#DIV/0!</v>
      </c>
      <c r="F55" s="1006" t="s">
        <v>310</v>
      </c>
      <c r="G55" s="1007"/>
      <c r="H55" s="202"/>
      <c r="I55" s="202"/>
      <c r="J55" s="202"/>
      <c r="K55" s="202"/>
      <c r="L55" s="202"/>
      <c r="M55" s="202"/>
      <c r="N55" s="202"/>
      <c r="O55" s="202"/>
      <c r="P55" s="547"/>
    </row>
    <row r="56" spans="1:16" s="245" customFormat="1" ht="20.25" customHeight="1" x14ac:dyDescent="0.2">
      <c r="A56" s="509"/>
      <c r="B56" s="303"/>
      <c r="C56" s="426" t="s">
        <v>276</v>
      </c>
      <c r="D56" s="290"/>
      <c r="E56" s="424"/>
      <c r="F56" s="423"/>
      <c r="G56" s="423"/>
      <c r="H56" s="202"/>
      <c r="I56" s="202"/>
      <c r="J56" s="202"/>
      <c r="K56" s="202"/>
      <c r="L56" s="202"/>
      <c r="M56" s="202"/>
      <c r="N56" s="202"/>
      <c r="O56" s="202"/>
      <c r="P56" s="547"/>
    </row>
    <row r="57" spans="1:16" s="245" customFormat="1" ht="21.75" customHeight="1" x14ac:dyDescent="0.25">
      <c r="A57" s="509"/>
      <c r="B57" s="303"/>
      <c r="C57" s="427" t="s">
        <v>429</v>
      </c>
      <c r="D57" s="290"/>
      <c r="E57" s="424"/>
      <c r="F57" s="423"/>
      <c r="G57" s="423"/>
      <c r="H57" s="202"/>
      <c r="I57" s="202"/>
      <c r="J57" s="202"/>
      <c r="K57" s="202"/>
      <c r="L57" s="202"/>
      <c r="M57" s="202"/>
      <c r="N57" s="202"/>
      <c r="O57" s="202"/>
      <c r="P57" s="547"/>
    </row>
    <row r="58" spans="1:16" ht="24.75" customHeight="1" thickBot="1" x14ac:dyDescent="0.3">
      <c r="A58" s="509"/>
      <c r="B58" s="302"/>
      <c r="C58" s="425"/>
      <c r="D58" s="290"/>
      <c r="E58" s="424"/>
      <c r="F58" s="423"/>
      <c r="G58" s="423"/>
      <c r="H58" s="215"/>
      <c r="I58" s="202"/>
      <c r="J58" s="202"/>
      <c r="K58" s="202"/>
      <c r="L58" s="202"/>
      <c r="M58" s="202"/>
      <c r="N58" s="202"/>
      <c r="O58" s="202"/>
      <c r="P58" s="547"/>
    </row>
    <row r="59" spans="1:16" ht="30" customHeight="1" thickBot="1" x14ac:dyDescent="0.3">
      <c r="A59" s="509"/>
      <c r="B59" s="302"/>
      <c r="C59" s="963" t="s">
        <v>277</v>
      </c>
      <c r="D59" s="964"/>
      <c r="E59" s="964"/>
      <c r="F59" s="964"/>
      <c r="G59" s="964"/>
      <c r="H59" s="965"/>
      <c r="I59" s="202"/>
      <c r="J59" s="202"/>
      <c r="K59" s="202"/>
      <c r="L59" s="202"/>
      <c r="M59" s="202"/>
      <c r="N59" s="202"/>
      <c r="O59" s="202"/>
      <c r="P59" s="547"/>
    </row>
    <row r="60" spans="1:16" x14ac:dyDescent="0.25">
      <c r="A60" s="509"/>
      <c r="B60" s="302"/>
      <c r="C60" s="1010"/>
      <c r="D60" s="1011"/>
      <c r="E60" s="666" t="s">
        <v>120</v>
      </c>
      <c r="F60" s="504" t="s">
        <v>55</v>
      </c>
      <c r="G60" s="458" t="s">
        <v>80</v>
      </c>
      <c r="H60" s="459" t="s">
        <v>379</v>
      </c>
      <c r="I60" s="202"/>
      <c r="J60" s="202"/>
      <c r="K60" s="302"/>
      <c r="L60" s="302"/>
      <c r="M60" s="302"/>
      <c r="N60" s="302"/>
      <c r="O60" s="302"/>
      <c r="P60" s="547"/>
    </row>
    <row r="61" spans="1:16" ht="18" customHeight="1" x14ac:dyDescent="0.25">
      <c r="A61" s="509"/>
      <c r="B61" s="302"/>
      <c r="C61" s="988" t="s">
        <v>278</v>
      </c>
      <c r="D61" s="989"/>
      <c r="E61" s="665">
        <v>4</v>
      </c>
      <c r="F61" s="407">
        <v>4</v>
      </c>
      <c r="G61" s="407">
        <v>3</v>
      </c>
      <c r="H61" s="479">
        <v>3</v>
      </c>
      <c r="I61" s="560"/>
      <c r="J61" s="202"/>
      <c r="K61" s="302"/>
      <c r="L61" s="302"/>
      <c r="M61" s="302"/>
      <c r="N61" s="302"/>
      <c r="O61" s="302"/>
      <c r="P61" s="547"/>
    </row>
    <row r="62" spans="1:16" ht="50.25" customHeight="1" x14ac:dyDescent="0.25">
      <c r="A62" s="509"/>
      <c r="B62" s="302"/>
      <c r="C62" s="986" t="s">
        <v>311</v>
      </c>
      <c r="D62" s="987"/>
      <c r="E62" s="407">
        <f>IF($F$9=0,0,3*$E$55/$F$9)</f>
        <v>0</v>
      </c>
      <c r="F62" s="407">
        <f>IF($G$9=0,0,3*$E$55/$G$9)</f>
        <v>0</v>
      </c>
      <c r="G62" s="407">
        <f>IF($H$9=0,0,2*$E$55/$H$9)</f>
        <v>0</v>
      </c>
      <c r="H62" s="479">
        <f>IF($I$9=0,0,2*$E$55/$I$9)</f>
        <v>0</v>
      </c>
      <c r="I62" s="202"/>
      <c r="J62" s="477"/>
      <c r="K62" s="302"/>
      <c r="L62" s="302"/>
      <c r="M62" s="302"/>
      <c r="N62" s="302"/>
      <c r="O62" s="302"/>
      <c r="P62" s="547"/>
    </row>
    <row r="63" spans="1:16" ht="38.1" customHeight="1" thickBot="1" x14ac:dyDescent="0.3">
      <c r="A63" s="509"/>
      <c r="B63" s="302"/>
      <c r="C63" s="1008" t="s">
        <v>279</v>
      </c>
      <c r="D63" s="1009"/>
      <c r="E63" s="405">
        <f>IF(E62&lt;4,E62,4)</f>
        <v>0</v>
      </c>
      <c r="F63" s="405">
        <f t="shared" ref="F63" si="0">IF(F62&lt;4,F62,4)</f>
        <v>0</v>
      </c>
      <c r="G63" s="405">
        <f>IF(G62&lt;3,G62,3)</f>
        <v>0</v>
      </c>
      <c r="H63" s="478">
        <f>IF(H62&lt;3,H62,3)</f>
        <v>0</v>
      </c>
      <c r="I63" s="461"/>
      <c r="J63" s="202"/>
      <c r="K63" s="202"/>
      <c r="L63" s="202"/>
      <c r="M63" s="202"/>
      <c r="N63" s="202"/>
      <c r="O63" s="202"/>
      <c r="P63" s="547"/>
    </row>
    <row r="64" spans="1:16" ht="15.75" thickBot="1" x14ac:dyDescent="0.3">
      <c r="A64" s="509"/>
      <c r="B64" s="302"/>
      <c r="C64" s="136"/>
      <c r="D64" s="136"/>
      <c r="E64" s="136"/>
      <c r="F64" s="136"/>
      <c r="G64" s="136"/>
      <c r="H64" s="136"/>
      <c r="I64" s="136"/>
      <c r="J64" s="136"/>
      <c r="K64" s="136"/>
      <c r="L64" s="136"/>
      <c r="M64" s="136"/>
      <c r="N64" s="136"/>
      <c r="O64" s="136"/>
      <c r="P64" s="547"/>
    </row>
    <row r="65" spans="1:16" ht="48" customHeight="1" thickBot="1" x14ac:dyDescent="0.3">
      <c r="A65" s="509"/>
      <c r="B65" s="966" t="s">
        <v>419</v>
      </c>
      <c r="C65" s="967"/>
      <c r="D65" s="967"/>
      <c r="E65" s="967"/>
      <c r="F65" s="967"/>
      <c r="G65" s="967"/>
      <c r="H65" s="967"/>
      <c r="I65" s="967"/>
      <c r="J65" s="968"/>
      <c r="K65" s="302"/>
      <c r="L65" s="302"/>
      <c r="M65" s="302"/>
      <c r="N65" s="302"/>
      <c r="O65" s="302"/>
      <c r="P65" s="547"/>
    </row>
    <row r="66" spans="1:16" ht="15" customHeight="1" thickBot="1" x14ac:dyDescent="0.3">
      <c r="A66" s="509"/>
      <c r="B66" s="302"/>
      <c r="C66" s="302"/>
      <c r="D66" s="302"/>
      <c r="E66" s="302"/>
      <c r="F66" s="302"/>
      <c r="G66" s="302"/>
      <c r="H66" s="302"/>
      <c r="I66" s="302"/>
      <c r="J66" s="302"/>
      <c r="K66" s="302"/>
      <c r="L66" s="302"/>
      <c r="M66" s="302"/>
      <c r="N66" s="302"/>
      <c r="O66" s="302"/>
      <c r="P66" s="547"/>
    </row>
    <row r="67" spans="1:16" ht="45" x14ac:dyDescent="0.25">
      <c r="A67" s="509"/>
      <c r="B67" s="294" t="s">
        <v>12</v>
      </c>
      <c r="C67" s="408" t="s">
        <v>420</v>
      </c>
      <c r="D67" s="295" t="s">
        <v>284</v>
      </c>
      <c r="E67" s="372" t="s">
        <v>128</v>
      </c>
      <c r="F67" s="296" t="s">
        <v>283</v>
      </c>
      <c r="G67" s="643" t="s">
        <v>120</v>
      </c>
      <c r="H67" s="297" t="s">
        <v>55</v>
      </c>
      <c r="I67" s="506" t="s">
        <v>80</v>
      </c>
      <c r="J67" s="211" t="s">
        <v>379</v>
      </c>
      <c r="K67" s="132"/>
      <c r="L67" s="302"/>
      <c r="M67" s="302"/>
      <c r="N67" s="302"/>
      <c r="O67" s="302"/>
      <c r="P67" s="547"/>
    </row>
    <row r="68" spans="1:16" ht="33.75" customHeight="1" x14ac:dyDescent="0.25">
      <c r="A68" s="509"/>
      <c r="B68" s="265"/>
      <c r="C68" s="667" t="s">
        <v>291</v>
      </c>
      <c r="D68" s="267">
        <v>0.1</v>
      </c>
      <c r="E68" s="268"/>
      <c r="F68" s="269"/>
      <c r="G68" s="159">
        <f>-D68*E63</f>
        <v>0</v>
      </c>
      <c r="H68" s="462">
        <f>-D68*$F$63</f>
        <v>0</v>
      </c>
      <c r="I68" s="159">
        <f>-G63*$D$68</f>
        <v>0</v>
      </c>
      <c r="J68" s="494">
        <f>-H63*$D$68</f>
        <v>0</v>
      </c>
      <c r="K68" s="302"/>
      <c r="L68" s="302"/>
      <c r="M68" s="302"/>
      <c r="N68" s="302"/>
      <c r="O68" s="302"/>
      <c r="P68" s="547"/>
    </row>
    <row r="69" spans="1:16" ht="35.25" customHeight="1" x14ac:dyDescent="0.25">
      <c r="A69" s="509"/>
      <c r="B69" s="265" t="s">
        <v>13</v>
      </c>
      <c r="C69" s="266" t="s">
        <v>281</v>
      </c>
      <c r="D69" s="267">
        <v>0.1</v>
      </c>
      <c r="E69" s="376" t="s">
        <v>130</v>
      </c>
      <c r="F69" s="203">
        <f>IF(E69="nei",0,D69)</f>
        <v>0.1</v>
      </c>
      <c r="G69" s="270">
        <f>E63*$F$69</f>
        <v>0</v>
      </c>
      <c r="H69" s="463">
        <f>F63*$F$69</f>
        <v>0</v>
      </c>
      <c r="I69" s="159">
        <f>G63*$F$69</f>
        <v>0</v>
      </c>
      <c r="J69" s="464">
        <f>H63*$F$69</f>
        <v>0</v>
      </c>
      <c r="K69" s="302"/>
      <c r="L69" s="302"/>
      <c r="M69" s="302"/>
      <c r="N69" s="302"/>
      <c r="O69" s="302"/>
      <c r="P69" s="547"/>
    </row>
    <row r="70" spans="1:16" ht="47.25" customHeight="1" x14ac:dyDescent="0.25">
      <c r="A70" s="509"/>
      <c r="B70" s="265" t="s">
        <v>14</v>
      </c>
      <c r="C70" s="266" t="s">
        <v>282</v>
      </c>
      <c r="D70" s="267">
        <v>0.05</v>
      </c>
      <c r="E70" s="376" t="s">
        <v>130</v>
      </c>
      <c r="F70" s="203">
        <f>IF(E70="nei",0,D70)</f>
        <v>0.05</v>
      </c>
      <c r="G70" s="270">
        <f>E63*$F$70</f>
        <v>0</v>
      </c>
      <c r="H70" s="463">
        <f>F63*$F$70</f>
        <v>0</v>
      </c>
      <c r="I70" s="159">
        <f>G63*$F$70</f>
        <v>0</v>
      </c>
      <c r="J70" s="464">
        <f>H63*$F$70</f>
        <v>0</v>
      </c>
      <c r="K70" s="302"/>
      <c r="L70" s="302"/>
      <c r="M70" s="302"/>
      <c r="N70" s="302"/>
      <c r="O70" s="302"/>
      <c r="P70" s="547"/>
    </row>
    <row r="71" spans="1:16" ht="36" customHeight="1" thickBot="1" x14ac:dyDescent="0.3">
      <c r="A71" s="509"/>
      <c r="B71" s="1004" t="s">
        <v>288</v>
      </c>
      <c r="C71" s="1005"/>
      <c r="D71" s="271"/>
      <c r="E71" s="272"/>
      <c r="F71" s="273"/>
      <c r="G71" s="274">
        <f>IF(F69+F70&gt;10%,0,G68+G69+G70)</f>
        <v>0</v>
      </c>
      <c r="H71" s="274">
        <f>IF(F69+F70&gt;10%,0,H68+H69+H70)</f>
        <v>0</v>
      </c>
      <c r="I71" s="465">
        <f>IF(F69+F70&gt;10%,0,I68+I69+I70)</f>
        <v>0</v>
      </c>
      <c r="J71" s="275">
        <f>IF(F69+F70&gt;10%,0,J68+J69+J70)</f>
        <v>0</v>
      </c>
      <c r="K71" s="302"/>
      <c r="L71" s="302"/>
      <c r="M71" s="302"/>
      <c r="N71" s="302"/>
      <c r="O71" s="302"/>
      <c r="P71" s="547"/>
    </row>
    <row r="72" spans="1:16" ht="15.75" thickBot="1" x14ac:dyDescent="0.3">
      <c r="A72" s="509"/>
      <c r="B72" s="202"/>
      <c r="C72" s="291"/>
      <c r="D72" s="291"/>
      <c r="E72" s="215"/>
      <c r="F72" s="276"/>
      <c r="G72" s="202"/>
      <c r="H72" s="202"/>
      <c r="I72" s="202"/>
      <c r="J72" s="302"/>
      <c r="K72" s="302"/>
      <c r="L72" s="302"/>
      <c r="M72" s="302"/>
      <c r="N72" s="302"/>
      <c r="O72" s="302"/>
      <c r="P72" s="547"/>
    </row>
    <row r="73" spans="1:16" ht="63" customHeight="1" x14ac:dyDescent="0.25">
      <c r="A73" s="509"/>
      <c r="B73" s="294" t="s">
        <v>15</v>
      </c>
      <c r="C73" s="298" t="s">
        <v>285</v>
      </c>
      <c r="D73" s="295" t="str">
        <f>D67</f>
        <v>% of the Ct-calculated Log-reduction</v>
      </c>
      <c r="E73" s="372" t="s">
        <v>128</v>
      </c>
      <c r="F73" s="296" t="str">
        <f>F67</f>
        <v>Influence on log reduction</v>
      </c>
      <c r="G73" s="643" t="s">
        <v>120</v>
      </c>
      <c r="H73" s="297" t="s">
        <v>55</v>
      </c>
      <c r="I73" s="506" t="s">
        <v>80</v>
      </c>
      <c r="J73" s="211" t="s">
        <v>379</v>
      </c>
      <c r="K73" s="302"/>
      <c r="L73" s="302"/>
      <c r="M73" s="302"/>
      <c r="N73" s="302"/>
      <c r="O73" s="302"/>
      <c r="P73" s="547"/>
    </row>
    <row r="74" spans="1:16" ht="35.25" customHeight="1" x14ac:dyDescent="0.25">
      <c r="A74" s="509"/>
      <c r="B74" s="265"/>
      <c r="C74" s="667" t="s">
        <v>291</v>
      </c>
      <c r="D74" s="267">
        <v>0.15</v>
      </c>
      <c r="E74" s="269"/>
      <c r="F74" s="269"/>
      <c r="G74" s="159">
        <f>-$D$74*$E$63</f>
        <v>0</v>
      </c>
      <c r="H74" s="159">
        <f>-$D$74*$F$63</f>
        <v>0</v>
      </c>
      <c r="I74" s="159">
        <f>-$D$74*$G$63</f>
        <v>0</v>
      </c>
      <c r="J74" s="494">
        <f>-$D$74*$H$63</f>
        <v>0</v>
      </c>
      <c r="K74" s="302"/>
      <c r="L74" s="302"/>
      <c r="M74" s="302"/>
      <c r="N74" s="302"/>
      <c r="O74" s="302"/>
      <c r="P74" s="547"/>
    </row>
    <row r="75" spans="1:16" ht="33.75" customHeight="1" x14ac:dyDescent="0.25">
      <c r="A75" s="509"/>
      <c r="B75" s="265" t="s">
        <v>16</v>
      </c>
      <c r="C75" s="266" t="s">
        <v>286</v>
      </c>
      <c r="D75" s="267">
        <v>0.1</v>
      </c>
      <c r="E75" s="376" t="s">
        <v>130</v>
      </c>
      <c r="F75" s="203">
        <f>IF(E75="nei",0,D75)</f>
        <v>0.1</v>
      </c>
      <c r="G75" s="159">
        <f>E63*$F$75</f>
        <v>0</v>
      </c>
      <c r="H75" s="159">
        <f>F63*$F$75</f>
        <v>0</v>
      </c>
      <c r="I75" s="159">
        <f t="shared" ref="I75" si="1">G63*$F$75</f>
        <v>0</v>
      </c>
      <c r="J75" s="494">
        <f>H63*$F$75</f>
        <v>0</v>
      </c>
      <c r="K75" s="302"/>
      <c r="L75" s="302"/>
      <c r="M75" s="302"/>
      <c r="N75" s="302"/>
      <c r="O75" s="302"/>
      <c r="P75" s="547"/>
    </row>
    <row r="76" spans="1:16" ht="34.5" customHeight="1" x14ac:dyDescent="0.25">
      <c r="A76" s="509"/>
      <c r="B76" s="265" t="s">
        <v>17</v>
      </c>
      <c r="C76" s="266" t="s">
        <v>421</v>
      </c>
      <c r="D76" s="267">
        <v>0.05</v>
      </c>
      <c r="E76" s="376" t="s">
        <v>130</v>
      </c>
      <c r="F76" s="203">
        <f>IF(E76="nei",0,D76)</f>
        <v>0.05</v>
      </c>
      <c r="G76" s="159">
        <f>E63*$F$76</f>
        <v>0</v>
      </c>
      <c r="H76" s="159">
        <f t="shared" ref="H76:I76" si="2">F63*$F$76</f>
        <v>0</v>
      </c>
      <c r="I76" s="159">
        <f t="shared" si="2"/>
        <v>0</v>
      </c>
      <c r="J76" s="494">
        <f>H63*$F$76</f>
        <v>0</v>
      </c>
      <c r="K76" s="302"/>
      <c r="L76" s="302"/>
      <c r="M76" s="302"/>
      <c r="N76" s="302"/>
      <c r="O76" s="302"/>
      <c r="P76" s="547"/>
    </row>
    <row r="77" spans="1:16" ht="92.25" customHeight="1" x14ac:dyDescent="0.25">
      <c r="A77" s="509"/>
      <c r="B77" s="265" t="s">
        <v>18</v>
      </c>
      <c r="C77" s="266" t="s">
        <v>287</v>
      </c>
      <c r="D77" s="267">
        <v>0.1</v>
      </c>
      <c r="E77" s="376" t="s">
        <v>130</v>
      </c>
      <c r="F77" s="203">
        <f>IF(E77="nei",0,D77)</f>
        <v>0.1</v>
      </c>
      <c r="G77" s="159">
        <f>E63*$F$77</f>
        <v>0</v>
      </c>
      <c r="H77" s="159">
        <f>F63*$F$77</f>
        <v>0</v>
      </c>
      <c r="I77" s="159">
        <f>G63*$F$77</f>
        <v>0</v>
      </c>
      <c r="J77" s="494">
        <f>H63*$F$77</f>
        <v>0</v>
      </c>
      <c r="K77" s="302"/>
      <c r="L77" s="302"/>
      <c r="M77" s="302"/>
      <c r="N77" s="302"/>
      <c r="O77" s="302"/>
      <c r="P77" s="547"/>
    </row>
    <row r="78" spans="1:16" ht="35.25" customHeight="1" thickBot="1" x14ac:dyDescent="0.3">
      <c r="A78" s="509"/>
      <c r="B78" s="1004" t="s">
        <v>289</v>
      </c>
      <c r="C78" s="1005"/>
      <c r="D78" s="277"/>
      <c r="E78" s="277"/>
      <c r="F78" s="278"/>
      <c r="G78" s="274">
        <f>IF(SUM(G74:G77)&gt;0,"0.00",SUM(G74:G77))</f>
        <v>0</v>
      </c>
      <c r="H78" s="274">
        <f>IF(SUM(H74:H77)&gt;0,"0.00",SUM(H74:H77))</f>
        <v>0</v>
      </c>
      <c r="I78" s="274">
        <f>IF(SUM(I74:I77)&gt;0,"0.00",SUM(I74:I77))</f>
        <v>0</v>
      </c>
      <c r="J78" s="466">
        <f>IF(SUM(J74:J77)&gt;0,"0.00",SUM(J74:J77))</f>
        <v>0</v>
      </c>
      <c r="K78" s="467"/>
      <c r="L78" s="302"/>
      <c r="M78" s="302"/>
      <c r="N78" s="302"/>
      <c r="O78" s="302"/>
      <c r="P78" s="547"/>
    </row>
    <row r="79" spans="1:16" ht="15.75" thickBot="1" x14ac:dyDescent="0.3">
      <c r="A79" s="509"/>
      <c r="B79" s="280"/>
      <c r="C79" s="291"/>
      <c r="D79" s="291"/>
      <c r="E79" s="291"/>
      <c r="F79" s="291"/>
      <c r="G79" s="281"/>
      <c r="H79" s="281"/>
      <c r="I79" s="281"/>
      <c r="J79" s="302"/>
      <c r="K79" s="302"/>
      <c r="L79" s="302"/>
      <c r="M79" s="302"/>
      <c r="N79" s="302"/>
      <c r="O79" s="302"/>
      <c r="P79" s="547"/>
    </row>
    <row r="80" spans="1:16" ht="45" x14ac:dyDescent="0.25">
      <c r="A80" s="509"/>
      <c r="B80" s="294" t="s">
        <v>19</v>
      </c>
      <c r="C80" s="298" t="s">
        <v>294</v>
      </c>
      <c r="D80" s="296" t="str">
        <f>D67</f>
        <v>% of the Ct-calculated Log-reduction</v>
      </c>
      <c r="E80" s="372" t="s">
        <v>128</v>
      </c>
      <c r="F80" s="296" t="str">
        <f>F67</f>
        <v>Influence on log reduction</v>
      </c>
      <c r="G80" s="643" t="s">
        <v>120</v>
      </c>
      <c r="H80" s="297" t="s">
        <v>55</v>
      </c>
      <c r="I80" s="506" t="s">
        <v>80</v>
      </c>
      <c r="J80" s="211" t="s">
        <v>379</v>
      </c>
      <c r="K80" s="302"/>
      <c r="L80" s="302"/>
      <c r="M80" s="302"/>
      <c r="N80" s="302"/>
      <c r="O80" s="302"/>
      <c r="P80" s="547"/>
    </row>
    <row r="81" spans="1:16" ht="33" customHeight="1" x14ac:dyDescent="0.25">
      <c r="A81" s="509"/>
      <c r="B81" s="265"/>
      <c r="C81" s="667" t="s">
        <v>291</v>
      </c>
      <c r="D81" s="267">
        <v>0.1</v>
      </c>
      <c r="E81" s="267"/>
      <c r="F81" s="267"/>
      <c r="G81" s="159">
        <f>-$D$81*$E$63</f>
        <v>0</v>
      </c>
      <c r="H81" s="159">
        <f>-$D$81*$F$63</f>
        <v>0</v>
      </c>
      <c r="I81" s="159">
        <f>-$D$81*$G$63</f>
        <v>0</v>
      </c>
      <c r="J81" s="494">
        <f>-$D$81*$H$63</f>
        <v>0</v>
      </c>
      <c r="K81" s="302"/>
      <c r="L81" s="302"/>
      <c r="M81" s="302"/>
      <c r="N81" s="302"/>
      <c r="O81" s="302"/>
      <c r="P81" s="547"/>
    </row>
    <row r="82" spans="1:16" ht="33" customHeight="1" x14ac:dyDescent="0.25">
      <c r="A82" s="509"/>
      <c r="B82" s="265" t="s">
        <v>20</v>
      </c>
      <c r="C82" s="266" t="s">
        <v>292</v>
      </c>
      <c r="D82" s="267">
        <v>0.05</v>
      </c>
      <c r="E82" s="376" t="s">
        <v>130</v>
      </c>
      <c r="F82" s="203">
        <f>IF(E82="nei",0,D82)</f>
        <v>0.05</v>
      </c>
      <c r="G82" s="159">
        <f>E63*$F$82</f>
        <v>0</v>
      </c>
      <c r="H82" s="159">
        <f t="shared" ref="H82:I82" si="3">F63*$F$82</f>
        <v>0</v>
      </c>
      <c r="I82" s="159">
        <f t="shared" si="3"/>
        <v>0</v>
      </c>
      <c r="J82" s="494">
        <f>H63*$F$82</f>
        <v>0</v>
      </c>
      <c r="K82" s="302"/>
      <c r="L82" s="302"/>
      <c r="M82" s="302"/>
      <c r="N82" s="302"/>
      <c r="O82" s="302"/>
      <c r="P82" s="547"/>
    </row>
    <row r="83" spans="1:16" ht="36" customHeight="1" x14ac:dyDescent="0.25">
      <c r="A83" s="509"/>
      <c r="B83" s="265" t="s">
        <v>21</v>
      </c>
      <c r="C83" s="266" t="s">
        <v>422</v>
      </c>
      <c r="D83" s="267">
        <v>0.05</v>
      </c>
      <c r="E83" s="376" t="s">
        <v>130</v>
      </c>
      <c r="F83" s="203">
        <f>IF(E83="nei",0,D83)</f>
        <v>0.05</v>
      </c>
      <c r="G83" s="159">
        <f>E63*$F$83</f>
        <v>0</v>
      </c>
      <c r="H83" s="159">
        <f>F63*$F$83</f>
        <v>0</v>
      </c>
      <c r="I83" s="159">
        <f>G63*$F$83</f>
        <v>0</v>
      </c>
      <c r="J83" s="494">
        <f>H63*$F$83</f>
        <v>0</v>
      </c>
      <c r="K83" s="302"/>
      <c r="L83" s="302"/>
      <c r="M83" s="302"/>
      <c r="N83" s="302"/>
      <c r="O83" s="302"/>
      <c r="P83" s="547"/>
    </row>
    <row r="84" spans="1:16" ht="59.45" customHeight="1" x14ac:dyDescent="0.25">
      <c r="A84" s="509"/>
      <c r="B84" s="265" t="s">
        <v>22</v>
      </c>
      <c r="C84" s="266" t="s">
        <v>293</v>
      </c>
      <c r="D84" s="267">
        <v>0.05</v>
      </c>
      <c r="E84" s="376" t="s">
        <v>130</v>
      </c>
      <c r="F84" s="203">
        <f>IF(E84="nei",0,D84)</f>
        <v>0.05</v>
      </c>
      <c r="G84" s="159">
        <f>E63*$F$84</f>
        <v>0</v>
      </c>
      <c r="H84" s="159">
        <f>F63*$F$84</f>
        <v>0</v>
      </c>
      <c r="I84" s="159">
        <f>G63*$F$84</f>
        <v>0</v>
      </c>
      <c r="J84" s="494">
        <f>H63*$F$84</f>
        <v>0</v>
      </c>
      <c r="K84" s="302"/>
      <c r="L84" s="302"/>
      <c r="M84" s="302"/>
      <c r="N84" s="302"/>
      <c r="O84" s="302"/>
      <c r="P84" s="547"/>
    </row>
    <row r="85" spans="1:16" ht="32.25" customHeight="1" thickBot="1" x14ac:dyDescent="0.3">
      <c r="A85" s="509"/>
      <c r="B85" s="1004" t="s">
        <v>290</v>
      </c>
      <c r="C85" s="1005"/>
      <c r="D85" s="282"/>
      <c r="E85" s="282"/>
      <c r="F85" s="283"/>
      <c r="G85" s="274">
        <f>IF(SUM(G81:G84)&gt;0,"0.00",SUM(G81:G84))</f>
        <v>0</v>
      </c>
      <c r="H85" s="274">
        <f>IF(SUM(H81:H84)&gt;0,"0.00",SUM(H81:H84))</f>
        <v>0</v>
      </c>
      <c r="I85" s="274">
        <f>IF(SUM(I81:I84)&gt;0,"0.00",SUM(I81:I84))</f>
        <v>0</v>
      </c>
      <c r="J85" s="275">
        <f>IF(SUM(J81:J84)&gt;0,"0.00",SUM(J81:J84))</f>
        <v>0</v>
      </c>
      <c r="K85" s="302"/>
      <c r="L85" s="302"/>
      <c r="M85" s="302"/>
      <c r="N85" s="302"/>
      <c r="O85" s="302"/>
      <c r="P85" s="547"/>
    </row>
    <row r="86" spans="1:16" ht="15.75" thickBot="1" x14ac:dyDescent="0.3">
      <c r="A86" s="509"/>
      <c r="B86" s="202"/>
      <c r="C86" s="202"/>
      <c r="D86" s="202"/>
      <c r="E86" s="202"/>
      <c r="F86" s="202"/>
      <c r="G86" s="202"/>
      <c r="H86" s="202"/>
      <c r="I86" s="202"/>
      <c r="J86" s="302"/>
      <c r="K86" s="302"/>
      <c r="L86" s="302"/>
      <c r="M86" s="302"/>
      <c r="N86" s="302"/>
      <c r="O86" s="302"/>
      <c r="P86" s="547"/>
    </row>
    <row r="87" spans="1:16" ht="29.25" customHeight="1" x14ac:dyDescent="0.25">
      <c r="A87" s="509"/>
      <c r="B87" s="996" t="s">
        <v>373</v>
      </c>
      <c r="C87" s="997"/>
      <c r="D87" s="997"/>
      <c r="E87" s="997"/>
      <c r="F87" s="997"/>
      <c r="G87" s="643" t="s">
        <v>120</v>
      </c>
      <c r="H87" s="297" t="s">
        <v>55</v>
      </c>
      <c r="I87" s="506" t="s">
        <v>80</v>
      </c>
      <c r="J87" s="211" t="s">
        <v>379</v>
      </c>
      <c r="K87" s="302"/>
      <c r="L87" s="302"/>
      <c r="M87" s="302"/>
      <c r="N87" s="302"/>
      <c r="O87" s="302"/>
      <c r="P87" s="547"/>
    </row>
    <row r="88" spans="1:16" ht="33.75" customHeight="1" x14ac:dyDescent="0.25">
      <c r="A88" s="509"/>
      <c r="B88" s="1014" t="s">
        <v>296</v>
      </c>
      <c r="C88" s="1015"/>
      <c r="D88" s="1015"/>
      <c r="E88" s="1015"/>
      <c r="F88" s="1016"/>
      <c r="G88" s="409">
        <f>E63</f>
        <v>0</v>
      </c>
      <c r="H88" s="409">
        <f>F63</f>
        <v>0</v>
      </c>
      <c r="I88" s="409">
        <f>G63</f>
        <v>0</v>
      </c>
      <c r="J88" s="468">
        <f>H63</f>
        <v>0</v>
      </c>
      <c r="K88" s="302"/>
      <c r="L88" s="302"/>
      <c r="M88" s="302"/>
      <c r="N88" s="302"/>
      <c r="O88" s="302"/>
      <c r="P88" s="547"/>
    </row>
    <row r="89" spans="1:16" ht="33" customHeight="1" thickBot="1" x14ac:dyDescent="0.3">
      <c r="A89" s="509"/>
      <c r="B89" s="994" t="s">
        <v>297</v>
      </c>
      <c r="C89" s="995"/>
      <c r="D89" s="995"/>
      <c r="E89" s="995"/>
      <c r="F89" s="995"/>
      <c r="G89" s="698">
        <f>SUM(G71,G78,G85)</f>
        <v>0</v>
      </c>
      <c r="H89" s="698">
        <f>SUM(H71,H78,H85)</f>
        <v>0</v>
      </c>
      <c r="I89" s="698">
        <f>SUM(I71,I78,I85)</f>
        <v>0</v>
      </c>
      <c r="J89" s="699">
        <f>SUM(J71,J78,J85)</f>
        <v>0</v>
      </c>
      <c r="K89" s="302"/>
      <c r="L89" s="302"/>
      <c r="M89" s="302"/>
      <c r="N89" s="302"/>
      <c r="O89" s="302"/>
      <c r="P89" s="547"/>
    </row>
    <row r="90" spans="1:16" ht="47.25" customHeight="1" thickBot="1" x14ac:dyDescent="0.3">
      <c r="A90" s="509"/>
      <c r="B90" s="908" t="s">
        <v>298</v>
      </c>
      <c r="C90" s="909"/>
      <c r="D90" s="909"/>
      <c r="E90" s="909"/>
      <c r="F90" s="910"/>
      <c r="G90" s="696">
        <f>G88+G89</f>
        <v>0</v>
      </c>
      <c r="H90" s="696">
        <f t="shared" ref="H90:I90" si="4">H88+H89</f>
        <v>0</v>
      </c>
      <c r="I90" s="696">
        <f t="shared" si="4"/>
        <v>0</v>
      </c>
      <c r="J90" s="700">
        <f t="shared" ref="J90" si="5">J88+J89</f>
        <v>0</v>
      </c>
      <c r="K90" s="302"/>
      <c r="L90" s="302"/>
      <c r="M90" s="302"/>
      <c r="N90" s="302"/>
      <c r="O90" s="302"/>
      <c r="P90" s="547"/>
    </row>
    <row r="91" spans="1:16" x14ac:dyDescent="0.25">
      <c r="A91" s="509"/>
      <c r="B91" s="302"/>
      <c r="C91" s="302"/>
      <c r="D91" s="302"/>
      <c r="E91" s="302"/>
      <c r="F91" s="302"/>
      <c r="G91" s="302"/>
      <c r="H91" s="302"/>
      <c r="I91" s="302"/>
      <c r="J91" s="302"/>
      <c r="K91" s="302"/>
      <c r="L91" s="302"/>
      <c r="M91" s="302"/>
      <c r="N91" s="302"/>
      <c r="O91" s="302"/>
      <c r="P91" s="547"/>
    </row>
    <row r="92" spans="1:16" x14ac:dyDescent="0.25">
      <c r="A92" s="509"/>
      <c r="B92" s="302"/>
      <c r="C92" s="302"/>
      <c r="D92" s="302"/>
      <c r="E92" s="302"/>
      <c r="F92" s="302"/>
      <c r="G92" s="302"/>
      <c r="H92" s="302"/>
      <c r="I92" s="302"/>
      <c r="J92" s="302"/>
      <c r="K92" s="302"/>
      <c r="L92" s="302"/>
      <c r="M92" s="302"/>
      <c r="N92" s="302"/>
      <c r="O92" s="302"/>
      <c r="P92" s="547"/>
    </row>
    <row r="93" spans="1:16" x14ac:dyDescent="0.25">
      <c r="A93" s="509"/>
      <c r="B93" s="302"/>
      <c r="C93" s="302"/>
      <c r="D93" s="302"/>
      <c r="E93" s="302"/>
      <c r="F93" s="302"/>
      <c r="G93" s="302"/>
      <c r="H93" s="302"/>
      <c r="I93" s="302"/>
      <c r="J93" s="302"/>
      <c r="K93" s="302"/>
      <c r="L93" s="302"/>
      <c r="M93" s="302"/>
      <c r="N93" s="302"/>
      <c r="O93" s="302"/>
      <c r="P93" s="547"/>
    </row>
    <row r="94" spans="1:16" x14ac:dyDescent="0.25">
      <c r="A94" s="554"/>
      <c r="B94" s="555"/>
      <c r="C94" s="555"/>
      <c r="D94" s="555"/>
      <c r="E94" s="555"/>
      <c r="F94" s="555"/>
      <c r="G94" s="555"/>
      <c r="H94" s="555"/>
      <c r="I94" s="555"/>
      <c r="J94" s="555"/>
      <c r="K94" s="555"/>
      <c r="L94" s="555"/>
      <c r="M94" s="555"/>
      <c r="N94" s="555"/>
      <c r="O94" s="555"/>
      <c r="P94" s="556"/>
    </row>
  </sheetData>
  <sheetProtection algorithmName="SHA-512" hashValue="SRuc7/8wkcQeA+YnJQqPpDjehQy53UT4G7pO4fyTC12N2cu88ZOZTuFZ9ZopLbI0T4F1U850njV/fIRlRruDxA==" saltValue="Lo1WkT5CsbTV296AaQCC1g==" spinCount="100000" sheet="1" selectLockedCells="1"/>
  <mergeCells count="75">
    <mergeCell ref="C28:O28"/>
    <mergeCell ref="G36:I36"/>
    <mergeCell ref="G37:I37"/>
    <mergeCell ref="C38:I38"/>
    <mergeCell ref="D29:D31"/>
    <mergeCell ref="G32:I32"/>
    <mergeCell ref="L31:M31"/>
    <mergeCell ref="G35:I35"/>
    <mergeCell ref="J29:O29"/>
    <mergeCell ref="J30:O30"/>
    <mergeCell ref="N31:O31"/>
    <mergeCell ref="G33:I33"/>
    <mergeCell ref="G34:I34"/>
    <mergeCell ref="J31:K31"/>
    <mergeCell ref="C18:K18"/>
    <mergeCell ref="J19:K19"/>
    <mergeCell ref="E29:F30"/>
    <mergeCell ref="H19:I19"/>
    <mergeCell ref="H20:I20"/>
    <mergeCell ref="C19:C22"/>
    <mergeCell ref="C26:K26"/>
    <mergeCell ref="F21:G21"/>
    <mergeCell ref="D21:E21"/>
    <mergeCell ref="D19:E20"/>
    <mergeCell ref="F19:G20"/>
    <mergeCell ref="J20:K20"/>
    <mergeCell ref="J21:K21"/>
    <mergeCell ref="H21:I21"/>
    <mergeCell ref="C29:C31"/>
    <mergeCell ref="G29:I31"/>
    <mergeCell ref="C5:I5"/>
    <mergeCell ref="E2:I2"/>
    <mergeCell ref="E3:I3"/>
    <mergeCell ref="C11:I11"/>
    <mergeCell ref="C6:D6"/>
    <mergeCell ref="C10:D10"/>
    <mergeCell ref="C2:D2"/>
    <mergeCell ref="C3:D3"/>
    <mergeCell ref="C7:E8"/>
    <mergeCell ref="C9:E9"/>
    <mergeCell ref="B89:F89"/>
    <mergeCell ref="B90:F90"/>
    <mergeCell ref="B87:F87"/>
    <mergeCell ref="F44:G44"/>
    <mergeCell ref="F45:G45"/>
    <mergeCell ref="F46:G46"/>
    <mergeCell ref="F47:G47"/>
    <mergeCell ref="B71:C71"/>
    <mergeCell ref="B78:C78"/>
    <mergeCell ref="B85:C85"/>
    <mergeCell ref="F55:G55"/>
    <mergeCell ref="C63:D63"/>
    <mergeCell ref="C61:D61"/>
    <mergeCell ref="C60:D60"/>
    <mergeCell ref="C50:D50"/>
    <mergeCell ref="B88:F88"/>
    <mergeCell ref="C12:G12"/>
    <mergeCell ref="C13:G13"/>
    <mergeCell ref="C14:G14"/>
    <mergeCell ref="C16:G16"/>
    <mergeCell ref="C15:G15"/>
    <mergeCell ref="C59:H59"/>
    <mergeCell ref="B65:J65"/>
    <mergeCell ref="C43:E43"/>
    <mergeCell ref="C42:E42"/>
    <mergeCell ref="C41:G41"/>
    <mergeCell ref="F42:G42"/>
    <mergeCell ref="F43:G43"/>
    <mergeCell ref="E50:G50"/>
    <mergeCell ref="C44:E44"/>
    <mergeCell ref="C47:E47"/>
    <mergeCell ref="C46:E46"/>
    <mergeCell ref="C45:E45"/>
    <mergeCell ref="C49:G49"/>
    <mergeCell ref="C62:D62"/>
  </mergeCells>
  <conditionalFormatting sqref="F75">
    <cfRule type="cellIs" dxfId="7" priority="4" operator="greaterThan">
      <formula>0</formula>
    </cfRule>
  </conditionalFormatting>
  <conditionalFormatting sqref="F76">
    <cfRule type="cellIs" dxfId="6" priority="3" operator="greaterThan">
      <formula>0</formula>
    </cfRule>
  </conditionalFormatting>
  <conditionalFormatting sqref="F77">
    <cfRule type="cellIs" dxfId="5" priority="2" operator="greaterThan">
      <formula>0</formula>
    </cfRule>
  </conditionalFormatting>
  <conditionalFormatting sqref="F82:F84">
    <cfRule type="cellIs" dxfId="4" priority="1" operator="greaterThan">
      <formula>0</formula>
    </cfRule>
  </conditionalFormatting>
  <printOptions horizontalCentered="1" verticalCentered="1"/>
  <pageMargins left="0.78740157480314965" right="0.78740157480314965" top="1.1811023622047245" bottom="0.98425196850393704" header="0.51181102362204722" footer="0.51181102362204722"/>
  <pageSetup paperSize="8" scale="80" orientation="portrait"/>
  <headerFooter>
    <oddHeader>&amp;L&amp;"Times New Roman,Halvfet"&amp;16Microbial barrier analysis (MBA)
Operational tool&amp;C&amp;"Times New Roman,Halvfet"&amp;16&amp;A&amp;R&amp;"Times New Roman,Halvfet"&amp;16Page &amp;P of &amp;N
&amp;D</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key!$A$2</xm:f>
          </x14:formula1>
          <xm:sqref>D32:D37 J32:J37 L32:L37 N32:N37</xm:sqref>
        </x14:dataValidation>
        <x14:dataValidation type="list" allowBlank="1" showInputMessage="1" showErrorMessage="1">
          <x14:formula1>
            <xm:f>key!$A$2:$A$3</xm:f>
          </x14:formula1>
          <xm:sqref>E69:E70 E75:E77 E82:E84</xm:sqref>
        </x14:dataValidation>
        <x14:dataValidation type="list" allowBlank="1" showInputMessage="1" showErrorMessage="1">
          <x14:formula1>
            <xm:f>key!$A$45:$A$47</xm:f>
          </x14:formula1>
          <xm:sqref>E50</xm:sqref>
        </x14:dataValidation>
        <x14:dataValidation type="list" allowBlank="1" showInputMessage="1" showErrorMessage="1">
          <x14:formula1>
            <xm:f>key!$A$22:$A$28</xm:f>
          </x14:formula1>
          <xm:sqref>C9:E9</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4</vt:i4>
      </vt:variant>
    </vt:vector>
  </HeadingPairs>
  <TitlesOfParts>
    <vt:vector size="19" baseType="lpstr">
      <vt:lpstr>Introduction</vt:lpstr>
      <vt:lpstr>Start</vt:lpstr>
      <vt:lpstr>Lakes and catchment areas</vt:lpstr>
      <vt:lpstr>Groundwater</vt:lpstr>
      <vt:lpstr>Infiltration</vt:lpstr>
      <vt:lpstr>WT beyond disinf. (process 1)</vt:lpstr>
      <vt:lpstr>WT beyond disinf. (process 2)</vt:lpstr>
      <vt:lpstr>UV</vt:lpstr>
      <vt:lpstr>Chlorine</vt:lpstr>
      <vt:lpstr>Chlorine dioxide</vt:lpstr>
      <vt:lpstr>Ozone</vt:lpstr>
      <vt:lpstr>Summary</vt:lpstr>
      <vt:lpstr>tab 3.3</vt:lpstr>
      <vt:lpstr>key</vt:lpstr>
      <vt:lpstr>key 2</vt:lpstr>
      <vt:lpstr>Groundwater!Utskriftsområde</vt:lpstr>
      <vt:lpstr>'Lakes and catchment areas'!Utskriftsområde</vt:lpstr>
      <vt:lpstr>Start!Utskriftsområde</vt:lpstr>
      <vt:lpstr>Summary!Utskriftsområde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Optimal desinfeksjonspraksis</dc:title>
  <dc:subject>Norsk Vann rapport 170/2009</dc:subject>
  <dc:creator>Asle Aasen</dc:creator>
  <cp:keywords>Desinfeksjon</cp:keywords>
  <cp:lastModifiedBy>Aasen, Asle</cp:lastModifiedBy>
  <cp:lastPrinted>2018-07-04T11:09:40Z</cp:lastPrinted>
  <dcterms:created xsi:type="dcterms:W3CDTF">2009-04-08T15:39:51Z</dcterms:created>
  <dcterms:modified xsi:type="dcterms:W3CDTF">2020-11-26T07:21:51Z</dcterms:modified>
  <cp:category>Vannforsyning</cp:category>
</cp:coreProperties>
</file>