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adm.bgo\BKRedir\zg912\Documents\MBA\"/>
    </mc:Choice>
  </mc:AlternateContent>
  <bookViews>
    <workbookView xWindow="0" yWindow="0" windowWidth="28800" windowHeight="14010" tabRatio="844" activeTab="11"/>
  </bookViews>
  <sheets>
    <sheet name="Innledning" sheetId="11" r:id="rId1"/>
    <sheet name="Start" sheetId="12" r:id="rId2"/>
    <sheet name="Innsjø" sheetId="2" r:id="rId3"/>
    <sheet name="Grunnvann" sheetId="4" r:id="rId4"/>
    <sheet name="Infiltrasjon" sheetId="20" r:id="rId5"/>
    <sheet name="VB utover desinf. (prosess 1) " sheetId="9" r:id="rId6"/>
    <sheet name="VB utover desinf. (prosess 2) " sheetId="19" r:id="rId7"/>
    <sheet name="UV" sheetId="6" r:id="rId8"/>
    <sheet name="Klor" sheetId="14" r:id="rId9"/>
    <sheet name="Klordioksid" sheetId="17" r:id="rId10"/>
    <sheet name="Ozon" sheetId="18" r:id="rId11"/>
    <sheet name="Oppsummering" sheetId="10" r:id="rId12"/>
    <sheet name="tab 3.3" sheetId="1" state="hidden" r:id="rId13"/>
    <sheet name="key" sheetId="13" state="hidden" r:id="rId14"/>
    <sheet name="key 2" sheetId="15" state="hidden" r:id="rId15"/>
  </sheets>
  <definedNames>
    <definedName name="_xlnm.Print_Area" localSheetId="3">Grunnvann!$B$2:$K$24</definedName>
    <definedName name="_xlnm.Print_Area" localSheetId="2">Innsjø!$B$2:$K$22</definedName>
    <definedName name="_xlnm.Print_Area" localSheetId="11">Oppsummering!$B$4:$I$19</definedName>
    <definedName name="_xlnm.Print_Area" localSheetId="1">Start!$A$22:$P$69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7" i="6" l="1"/>
  <c r="E14" i="10"/>
  <c r="B3" i="20" l="1"/>
  <c r="B2" i="20"/>
  <c r="L9" i="20" l="1"/>
  <c r="L8" i="20"/>
  <c r="K9" i="20"/>
  <c r="K8" i="20"/>
  <c r="J8" i="20"/>
  <c r="J9" i="20"/>
  <c r="L11" i="20"/>
  <c r="K11" i="20"/>
  <c r="J11" i="20"/>
  <c r="L10" i="20"/>
  <c r="K10" i="20"/>
  <c r="J10" i="20"/>
  <c r="K13" i="20" l="1"/>
  <c r="F12" i="10" s="1"/>
  <c r="L13" i="20"/>
  <c r="H12" i="10"/>
  <c r="G12" i="10"/>
  <c r="J13" i="20"/>
  <c r="E12" i="10" s="1"/>
  <c r="F44" i="14" l="1"/>
  <c r="C4" i="10"/>
  <c r="C5" i="10"/>
  <c r="H9" i="10" l="1"/>
  <c r="G9" i="14" l="1"/>
  <c r="K30" i="19" l="1"/>
  <c r="J30" i="19"/>
  <c r="I30" i="19"/>
  <c r="K29" i="19"/>
  <c r="J29" i="19"/>
  <c r="I29" i="19"/>
  <c r="K28" i="19"/>
  <c r="J28" i="19"/>
  <c r="I28" i="19"/>
  <c r="K27" i="19"/>
  <c r="J27" i="19"/>
  <c r="I27" i="19"/>
  <c r="K24" i="19"/>
  <c r="J24" i="19"/>
  <c r="I24" i="19"/>
  <c r="K23" i="19"/>
  <c r="J23" i="19"/>
  <c r="I23" i="19"/>
  <c r="K22" i="19"/>
  <c r="J22" i="19"/>
  <c r="I22" i="19"/>
  <c r="K18" i="19"/>
  <c r="J18" i="19"/>
  <c r="I18" i="19"/>
  <c r="K17" i="19"/>
  <c r="J17" i="19"/>
  <c r="I17" i="19"/>
  <c r="K16" i="19"/>
  <c r="J16" i="19"/>
  <c r="I16" i="19"/>
  <c r="K15" i="19"/>
  <c r="J15" i="19"/>
  <c r="I15" i="19"/>
  <c r="K14" i="19"/>
  <c r="J14" i="19"/>
  <c r="I14" i="19"/>
  <c r="K13" i="19"/>
  <c r="J13" i="19"/>
  <c r="I13" i="19"/>
  <c r="K12" i="19"/>
  <c r="J12" i="19"/>
  <c r="I12" i="19"/>
  <c r="K11" i="19"/>
  <c r="K19" i="19" s="1"/>
  <c r="K31" i="19" s="1"/>
  <c r="J11" i="19"/>
  <c r="J19" i="19" s="1"/>
  <c r="J25" i="19" s="1"/>
  <c r="I11" i="19"/>
  <c r="I19" i="19" s="1"/>
  <c r="I25" i="19" s="1"/>
  <c r="K10" i="19"/>
  <c r="J10" i="19"/>
  <c r="I10" i="19"/>
  <c r="K9" i="19"/>
  <c r="J9" i="19"/>
  <c r="I9" i="19"/>
  <c r="K8" i="19"/>
  <c r="J8" i="19"/>
  <c r="I8" i="19"/>
  <c r="B3" i="19"/>
  <c r="B2" i="19"/>
  <c r="K25" i="19" l="1"/>
  <c r="K33" i="19" s="1"/>
  <c r="I31" i="19"/>
  <c r="I33" i="19" s="1"/>
  <c r="J31" i="19"/>
  <c r="J33" i="19" s="1"/>
  <c r="F14" i="10" s="1"/>
  <c r="F51" i="18"/>
  <c r="F50" i="18"/>
  <c r="F49" i="18"/>
  <c r="H14" i="10" l="1"/>
  <c r="G14" i="10"/>
  <c r="I9" i="18" l="1"/>
  <c r="H9" i="18"/>
  <c r="G9" i="18"/>
  <c r="F9" i="18"/>
  <c r="F90" i="18" l="1"/>
  <c r="F89" i="18"/>
  <c r="F88" i="18"/>
  <c r="F86" i="18"/>
  <c r="F83" i="18"/>
  <c r="F82" i="18"/>
  <c r="F81" i="18"/>
  <c r="F79" i="18"/>
  <c r="F76" i="18"/>
  <c r="F75" i="18"/>
  <c r="E59" i="18"/>
  <c r="E60" i="18" s="1"/>
  <c r="F52" i="18"/>
  <c r="C3" i="18"/>
  <c r="C2" i="18"/>
  <c r="F41" i="17"/>
  <c r="F54" i="18" l="1"/>
  <c r="F53" i="18"/>
  <c r="F72" i="14"/>
  <c r="F9" i="10" l="1"/>
  <c r="I9" i="17" l="1"/>
  <c r="H58" i="17" s="1"/>
  <c r="H9" i="17"/>
  <c r="G58" i="17" s="1"/>
  <c r="G9" i="17"/>
  <c r="F9" i="17"/>
  <c r="E61" i="18" l="1"/>
  <c r="E16" i="6"/>
  <c r="E62" i="18" l="1"/>
  <c r="F80" i="17"/>
  <c r="F79" i="17"/>
  <c r="F78" i="17"/>
  <c r="F76" i="17"/>
  <c r="F73" i="17"/>
  <c r="F72" i="17"/>
  <c r="F71" i="17"/>
  <c r="F69" i="17"/>
  <c r="F66" i="17"/>
  <c r="F65" i="17"/>
  <c r="F40" i="17"/>
  <c r="F39" i="17"/>
  <c r="F38" i="17"/>
  <c r="C3" i="17"/>
  <c r="C2" i="17"/>
  <c r="G68" i="18" l="1"/>
  <c r="G69" i="18" s="1"/>
  <c r="I89" i="18" s="1"/>
  <c r="H68" i="18"/>
  <c r="H69" i="18" s="1"/>
  <c r="F68" i="18"/>
  <c r="F69" i="18" s="1"/>
  <c r="E68" i="18"/>
  <c r="E69" i="18" s="1"/>
  <c r="G88" i="18" s="1"/>
  <c r="F43" i="17"/>
  <c r="F42" i="17"/>
  <c r="K6" i="9"/>
  <c r="K7" i="9"/>
  <c r="K9" i="9"/>
  <c r="K11" i="9"/>
  <c r="K10" i="9"/>
  <c r="K21" i="9"/>
  <c r="K22" i="9"/>
  <c r="K23" i="9"/>
  <c r="K25" i="9"/>
  <c r="K26" i="9"/>
  <c r="K27" i="9"/>
  <c r="K28" i="9"/>
  <c r="K29" i="9"/>
  <c r="J6" i="9"/>
  <c r="J7" i="9"/>
  <c r="J9" i="9"/>
  <c r="J11" i="9"/>
  <c r="J10" i="9"/>
  <c r="J21" i="9"/>
  <c r="J22" i="9"/>
  <c r="J23" i="9"/>
  <c r="J26" i="9"/>
  <c r="J27" i="9"/>
  <c r="J28" i="9"/>
  <c r="J29" i="9"/>
  <c r="I6" i="9"/>
  <c r="I7" i="9"/>
  <c r="I9" i="9"/>
  <c r="I11" i="9"/>
  <c r="I10" i="9"/>
  <c r="I21" i="9"/>
  <c r="I22" i="9"/>
  <c r="I23" i="9"/>
  <c r="I25" i="9"/>
  <c r="I26" i="9"/>
  <c r="I27" i="9"/>
  <c r="I28" i="9"/>
  <c r="I29" i="9"/>
  <c r="F16" i="6"/>
  <c r="F9" i="14"/>
  <c r="F68" i="14"/>
  <c r="F69" i="14"/>
  <c r="I9" i="14"/>
  <c r="F83" i="14"/>
  <c r="F82" i="14"/>
  <c r="F81" i="14"/>
  <c r="F76" i="14"/>
  <c r="F75" i="14"/>
  <c r="F74" i="14"/>
  <c r="F79" i="14"/>
  <c r="F43" i="14"/>
  <c r="H9" i="14"/>
  <c r="C3" i="14"/>
  <c r="C2" i="14"/>
  <c r="D16" i="6"/>
  <c r="H43" i="6" s="1"/>
  <c r="G50" i="6"/>
  <c r="G49" i="6"/>
  <c r="G48" i="6"/>
  <c r="G47" i="6"/>
  <c r="G46" i="6"/>
  <c r="G45" i="6"/>
  <c r="G44" i="6"/>
  <c r="G39" i="6"/>
  <c r="G38" i="6"/>
  <c r="G37" i="6"/>
  <c r="G36" i="6"/>
  <c r="G35" i="6"/>
  <c r="G30" i="6"/>
  <c r="G29" i="6"/>
  <c r="G28" i="6"/>
  <c r="G23" i="6"/>
  <c r="G22" i="6"/>
  <c r="G16" i="6"/>
  <c r="B3" i="6"/>
  <c r="B2" i="6"/>
  <c r="K8" i="9"/>
  <c r="K12" i="9"/>
  <c r="K13" i="9"/>
  <c r="K14" i="9"/>
  <c r="K15" i="9"/>
  <c r="K16" i="9"/>
  <c r="J16" i="9"/>
  <c r="I16" i="9"/>
  <c r="J15" i="9"/>
  <c r="I15" i="9"/>
  <c r="J14" i="9"/>
  <c r="I14" i="9"/>
  <c r="J13" i="9"/>
  <c r="I13" i="9"/>
  <c r="J12" i="9"/>
  <c r="I12" i="9"/>
  <c r="J8" i="9"/>
  <c r="I8" i="9"/>
  <c r="B3" i="9"/>
  <c r="B2" i="9"/>
  <c r="K23" i="4"/>
  <c r="J23" i="4"/>
  <c r="I23" i="4"/>
  <c r="K22" i="4"/>
  <c r="J22" i="4"/>
  <c r="I22" i="4"/>
  <c r="K21" i="4"/>
  <c r="J21" i="4"/>
  <c r="I21" i="4"/>
  <c r="K19" i="4"/>
  <c r="J19" i="4"/>
  <c r="I19" i="4"/>
  <c r="K18" i="4"/>
  <c r="J18" i="4"/>
  <c r="I18" i="4"/>
  <c r="K15" i="4"/>
  <c r="J15" i="4"/>
  <c r="I15" i="4"/>
  <c r="K14" i="4"/>
  <c r="J14" i="4"/>
  <c r="I14" i="4"/>
  <c r="K13" i="4"/>
  <c r="J13" i="4"/>
  <c r="I13" i="4"/>
  <c r="K12" i="4"/>
  <c r="J12" i="4"/>
  <c r="I12" i="4"/>
  <c r="K11" i="4"/>
  <c r="J11" i="4"/>
  <c r="I11" i="4"/>
  <c r="K10" i="4"/>
  <c r="J10" i="4"/>
  <c r="I10" i="4"/>
  <c r="K9" i="4"/>
  <c r="J9" i="4"/>
  <c r="I9" i="4"/>
  <c r="K8" i="4"/>
  <c r="J8" i="4"/>
  <c r="I8" i="4"/>
  <c r="K7" i="4"/>
  <c r="J7" i="4"/>
  <c r="I7" i="4"/>
  <c r="K6" i="4"/>
  <c r="J6" i="4"/>
  <c r="I6" i="4"/>
  <c r="B3" i="4"/>
  <c r="B2" i="4"/>
  <c r="K21" i="2"/>
  <c r="J21" i="2"/>
  <c r="I21" i="2"/>
  <c r="K20" i="2"/>
  <c r="J20" i="2"/>
  <c r="I20" i="2"/>
  <c r="K19" i="2"/>
  <c r="J19" i="2"/>
  <c r="I19" i="2"/>
  <c r="K17" i="2"/>
  <c r="J17" i="2"/>
  <c r="I17" i="2"/>
  <c r="K16" i="2"/>
  <c r="J16" i="2"/>
  <c r="I16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7" i="2"/>
  <c r="J7" i="2"/>
  <c r="I7" i="2"/>
  <c r="K6" i="2"/>
  <c r="J6" i="2"/>
  <c r="I6" i="2"/>
  <c r="D3" i="2"/>
  <c r="D3" i="20" s="1"/>
  <c r="D2" i="2"/>
  <c r="D2" i="20" s="1"/>
  <c r="G9" i="10"/>
  <c r="E9" i="10"/>
  <c r="K24" i="4" l="1"/>
  <c r="K26" i="4" s="1"/>
  <c r="K22" i="2"/>
  <c r="K24" i="2" s="1"/>
  <c r="I22" i="2"/>
  <c r="I24" i="2" s="1"/>
  <c r="I24" i="4"/>
  <c r="I26" i="4" s="1"/>
  <c r="J24" i="4"/>
  <c r="J26" i="4" s="1"/>
  <c r="J22" i="2"/>
  <c r="J24" i="2" s="1"/>
  <c r="J17" i="9"/>
  <c r="J20" i="9" s="1"/>
  <c r="K17" i="9"/>
  <c r="K20" i="9" s="1"/>
  <c r="K31" i="9" s="1"/>
  <c r="I17" i="9"/>
  <c r="I20" i="9" s="1"/>
  <c r="I31" i="9" s="1"/>
  <c r="E13" i="10" s="1"/>
  <c r="J25" i="9"/>
  <c r="J16" i="4"/>
  <c r="K16" i="4"/>
  <c r="K14" i="2"/>
  <c r="J14" i="2"/>
  <c r="E3" i="17"/>
  <c r="D3" i="19"/>
  <c r="E3" i="18"/>
  <c r="E2" i="17"/>
  <c r="D2" i="19"/>
  <c r="E2" i="18"/>
  <c r="J74" i="18"/>
  <c r="J80" i="18"/>
  <c r="J87" i="18"/>
  <c r="J75" i="18"/>
  <c r="J90" i="18"/>
  <c r="J81" i="18"/>
  <c r="J94" i="18"/>
  <c r="J76" i="18"/>
  <c r="J88" i="18"/>
  <c r="J83" i="18"/>
  <c r="J89" i="18"/>
  <c r="J82" i="18"/>
  <c r="I87" i="18"/>
  <c r="I76" i="18"/>
  <c r="I81" i="18"/>
  <c r="I80" i="18"/>
  <c r="I90" i="18"/>
  <c r="I94" i="18"/>
  <c r="I74" i="18"/>
  <c r="I83" i="18"/>
  <c r="I75" i="18"/>
  <c r="I88" i="18"/>
  <c r="I82" i="18"/>
  <c r="G76" i="18"/>
  <c r="G75" i="18"/>
  <c r="G82" i="18"/>
  <c r="G89" i="18"/>
  <c r="G74" i="18"/>
  <c r="G90" i="18"/>
  <c r="G83" i="18"/>
  <c r="G87" i="18"/>
  <c r="G94" i="18"/>
  <c r="G80" i="18"/>
  <c r="G81" i="18"/>
  <c r="I16" i="4"/>
  <c r="I14" i="2"/>
  <c r="H94" i="18"/>
  <c r="H87" i="18"/>
  <c r="H81" i="18"/>
  <c r="H80" i="18"/>
  <c r="H74" i="18"/>
  <c r="H88" i="18"/>
  <c r="H82" i="18"/>
  <c r="H90" i="18"/>
  <c r="H76" i="18"/>
  <c r="H89" i="18"/>
  <c r="H75" i="18"/>
  <c r="H83" i="18"/>
  <c r="D2" i="4"/>
  <c r="D2" i="9"/>
  <c r="D3" i="4"/>
  <c r="E3" i="14"/>
  <c r="D3" i="6"/>
  <c r="D2" i="6"/>
  <c r="E2" i="14"/>
  <c r="D3" i="9"/>
  <c r="H27" i="6"/>
  <c r="K27" i="6" s="1"/>
  <c r="K31" i="6" s="1"/>
  <c r="K44" i="6"/>
  <c r="K50" i="6"/>
  <c r="I21" i="6"/>
  <c r="L21" i="6" s="1"/>
  <c r="L24" i="6" s="1"/>
  <c r="I27" i="6"/>
  <c r="L27" i="6" s="1"/>
  <c r="L31" i="6" s="1"/>
  <c r="I34" i="6"/>
  <c r="L35" i="6" s="1"/>
  <c r="I43" i="6"/>
  <c r="L49" i="6" s="1"/>
  <c r="K48" i="6"/>
  <c r="J34" i="6"/>
  <c r="M34" i="6" s="1"/>
  <c r="H21" i="6"/>
  <c r="K21" i="6" s="1"/>
  <c r="K24" i="6" s="1"/>
  <c r="J43" i="6"/>
  <c r="M46" i="6" s="1"/>
  <c r="J21" i="6"/>
  <c r="K46" i="6"/>
  <c r="J27" i="6"/>
  <c r="K43" i="6"/>
  <c r="K51" i="6" s="1"/>
  <c r="K45" i="6"/>
  <c r="K47" i="6"/>
  <c r="K49" i="6"/>
  <c r="H34" i="6"/>
  <c r="H11" i="10" l="1"/>
  <c r="G11" i="10"/>
  <c r="F11" i="10"/>
  <c r="E11" i="10"/>
  <c r="J31" i="9"/>
  <c r="F13" i="10" s="1"/>
  <c r="G13" i="10"/>
  <c r="H13" i="10"/>
  <c r="H10" i="10"/>
  <c r="F10" i="10"/>
  <c r="J91" i="18"/>
  <c r="J84" i="18"/>
  <c r="J77" i="18"/>
  <c r="G84" i="18"/>
  <c r="G91" i="18"/>
  <c r="I84" i="18"/>
  <c r="I91" i="18"/>
  <c r="I77" i="18"/>
  <c r="G77" i="18"/>
  <c r="H77" i="18"/>
  <c r="H84" i="18"/>
  <c r="H91" i="18"/>
  <c r="E10" i="10"/>
  <c r="L30" i="6"/>
  <c r="K30" i="6"/>
  <c r="M38" i="6"/>
  <c r="M36" i="6"/>
  <c r="K28" i="6"/>
  <c r="M39" i="6"/>
  <c r="L37" i="6"/>
  <c r="L38" i="6"/>
  <c r="M35" i="6"/>
  <c r="L34" i="6"/>
  <c r="L29" i="6"/>
  <c r="L28" i="6"/>
  <c r="M37" i="6"/>
  <c r="K29" i="6"/>
  <c r="L50" i="6"/>
  <c r="L46" i="6"/>
  <c r="L45" i="6"/>
  <c r="L39" i="6"/>
  <c r="L36" i="6"/>
  <c r="K23" i="6"/>
  <c r="L22" i="6"/>
  <c r="L23" i="6"/>
  <c r="L48" i="6"/>
  <c r="L47" i="6"/>
  <c r="L44" i="6"/>
  <c r="L43" i="6"/>
  <c r="L51" i="6" s="1"/>
  <c r="M21" i="6"/>
  <c r="M24" i="6" s="1"/>
  <c r="K22" i="6"/>
  <c r="M23" i="6"/>
  <c r="M22" i="6"/>
  <c r="M47" i="6"/>
  <c r="M50" i="6"/>
  <c r="M48" i="6"/>
  <c r="M43" i="6"/>
  <c r="M51" i="6" s="1"/>
  <c r="M45" i="6"/>
  <c r="M49" i="6"/>
  <c r="M44" i="6"/>
  <c r="K39" i="6"/>
  <c r="K36" i="6"/>
  <c r="K38" i="6"/>
  <c r="K35" i="6"/>
  <c r="K37" i="6"/>
  <c r="K34" i="6"/>
  <c r="M30" i="6"/>
  <c r="M28" i="6"/>
  <c r="M27" i="6"/>
  <c r="M31" i="6" s="1"/>
  <c r="M29" i="6"/>
  <c r="F42" i="14"/>
  <c r="F46" i="14" s="1"/>
  <c r="F41" i="14"/>
  <c r="F45" i="14" s="1"/>
  <c r="E15" i="10" l="1"/>
  <c r="I95" i="18"/>
  <c r="I96" i="18" s="1"/>
  <c r="G19" i="10" s="1"/>
  <c r="G95" i="18"/>
  <c r="G96" i="18" s="1"/>
  <c r="E19" i="10" s="1"/>
  <c r="J95" i="18"/>
  <c r="J96" i="18" s="1"/>
  <c r="H19" i="10" s="1"/>
  <c r="H95" i="18"/>
  <c r="H96" i="18" s="1"/>
  <c r="F19" i="10" s="1"/>
  <c r="H15" i="10"/>
  <c r="F15" i="10"/>
  <c r="K40" i="6"/>
  <c r="K53" i="6" s="1"/>
  <c r="K58" i="6" s="1"/>
  <c r="E16" i="10" s="1"/>
  <c r="G10" i="10"/>
  <c r="G15" i="10" s="1"/>
  <c r="M40" i="6"/>
  <c r="M53" i="6" s="1"/>
  <c r="L40" i="6"/>
  <c r="L53" i="6" l="1"/>
  <c r="L58" i="6" s="1"/>
  <c r="F16" i="10" s="1"/>
  <c r="M58" i="6"/>
  <c r="G16" i="10" l="1"/>
  <c r="H16" i="10"/>
  <c r="H59" i="17" l="1"/>
  <c r="J66" i="17" s="1"/>
  <c r="E58" i="17"/>
  <c r="E59" i="17" s="1"/>
  <c r="G79" i="17" s="1"/>
  <c r="F58" i="17"/>
  <c r="F59" i="17" s="1"/>
  <c r="H65" i="17" s="1"/>
  <c r="J72" i="17" l="1"/>
  <c r="J77" i="17"/>
  <c r="J84" i="17"/>
  <c r="J73" i="17"/>
  <c r="J65" i="17"/>
  <c r="J70" i="17"/>
  <c r="J78" i="17"/>
  <c r="J80" i="17"/>
  <c r="J79" i="17"/>
  <c r="J64" i="17"/>
  <c r="J71" i="17"/>
  <c r="G59" i="17"/>
  <c r="I79" i="17" s="1"/>
  <c r="H71" i="17"/>
  <c r="H70" i="17"/>
  <c r="G77" i="17"/>
  <c r="H77" i="17"/>
  <c r="H73" i="17"/>
  <c r="G71" i="17"/>
  <c r="H72" i="17"/>
  <c r="H84" i="17"/>
  <c r="G66" i="17"/>
  <c r="G70" i="17"/>
  <c r="G64" i="17"/>
  <c r="H66" i="17"/>
  <c r="G73" i="17"/>
  <c r="H80" i="17"/>
  <c r="G72" i="17"/>
  <c r="G80" i="17"/>
  <c r="G84" i="17"/>
  <c r="G65" i="17"/>
  <c r="G78" i="17"/>
  <c r="H78" i="17"/>
  <c r="H64" i="17"/>
  <c r="H79" i="17"/>
  <c r="H67" i="17" l="1"/>
  <c r="I65" i="17"/>
  <c r="I73" i="17"/>
  <c r="I72" i="17"/>
  <c r="I70" i="17"/>
  <c r="I80" i="17"/>
  <c r="I78" i="17"/>
  <c r="I71" i="17"/>
  <c r="I64" i="17"/>
  <c r="I77" i="17"/>
  <c r="I66" i="17"/>
  <c r="I84" i="17"/>
  <c r="J81" i="17"/>
  <c r="J74" i="17"/>
  <c r="J67" i="17"/>
  <c r="G81" i="17"/>
  <c r="H74" i="17"/>
  <c r="G67" i="17"/>
  <c r="H81" i="17"/>
  <c r="G74" i="17"/>
  <c r="J85" i="17" l="1"/>
  <c r="G85" i="17"/>
  <c r="G86" i="17" s="1"/>
  <c r="H85" i="17"/>
  <c r="H86" i="17" s="1"/>
  <c r="F18" i="10" s="1"/>
  <c r="I74" i="17"/>
  <c r="I67" i="17"/>
  <c r="I81" i="17"/>
  <c r="J86" i="17"/>
  <c r="H18" i="10" s="1"/>
  <c r="I85" i="17" l="1"/>
  <c r="I86" i="17" s="1"/>
  <c r="G18" i="10" s="1"/>
  <c r="G61" i="14" l="1"/>
  <c r="G62" i="14" s="1"/>
  <c r="I74" i="14" s="1"/>
  <c r="F61" i="14"/>
  <c r="F62" i="14" s="1"/>
  <c r="H68" i="14" s="1"/>
  <c r="E61" i="14"/>
  <c r="E62" i="14" s="1"/>
  <c r="H61" i="14"/>
  <c r="H62" i="14" s="1"/>
  <c r="I69" i="14" l="1"/>
  <c r="I80" i="14"/>
  <c r="H73" i="14"/>
  <c r="H80" i="14"/>
  <c r="I75" i="14"/>
  <c r="I83" i="14"/>
  <c r="H81" i="14"/>
  <c r="I67" i="14"/>
  <c r="I68" i="14"/>
  <c r="I76" i="14"/>
  <c r="H76" i="14"/>
  <c r="H87" i="14"/>
  <c r="H69" i="14"/>
  <c r="J69" i="14"/>
  <c r="J68" i="14"/>
  <c r="J87" i="14"/>
  <c r="J74" i="14"/>
  <c r="J81" i="14"/>
  <c r="J82" i="14"/>
  <c r="J75" i="14"/>
  <c r="J73" i="14"/>
  <c r="J67" i="14"/>
  <c r="J76" i="14"/>
  <c r="J83" i="14"/>
  <c r="J80" i="14"/>
  <c r="H82" i="14"/>
  <c r="G80" i="14"/>
  <c r="G67" i="14"/>
  <c r="G76" i="14"/>
  <c r="G74" i="14"/>
  <c r="G87" i="14"/>
  <c r="G75" i="14"/>
  <c r="G81" i="14"/>
  <c r="G68" i="14"/>
  <c r="G73" i="14"/>
  <c r="G82" i="14"/>
  <c r="G69" i="14"/>
  <c r="G83" i="14"/>
  <c r="H67" i="14"/>
  <c r="H74" i="14"/>
  <c r="H75" i="14"/>
  <c r="H83" i="14"/>
  <c r="I81" i="14"/>
  <c r="I82" i="14"/>
  <c r="I87" i="14"/>
  <c r="I73" i="14"/>
  <c r="H77" i="14" l="1"/>
  <c r="I70" i="14"/>
  <c r="H70" i="14"/>
  <c r="I77" i="14"/>
  <c r="G70" i="14"/>
  <c r="H84" i="14"/>
  <c r="I84" i="14"/>
  <c r="J70" i="14"/>
  <c r="J84" i="14"/>
  <c r="J77" i="14"/>
  <c r="G77" i="14"/>
  <c r="G84" i="14"/>
  <c r="I88" i="14" l="1"/>
  <c r="I89" i="14" s="1"/>
  <c r="G17" i="10" s="1"/>
  <c r="G20" i="10" s="1"/>
  <c r="H88" i="14"/>
  <c r="H89" i="14" s="1"/>
  <c r="F17" i="10" s="1"/>
  <c r="F20" i="10" s="1"/>
  <c r="G88" i="14"/>
  <c r="G89" i="14" s="1"/>
  <c r="E17" i="10" s="1"/>
  <c r="E20" i="10" s="1"/>
  <c r="J88" i="14"/>
  <c r="J89" i="14" s="1"/>
  <c r="H17" i="10" s="1"/>
  <c r="H20" i="10" s="1"/>
  <c r="E48" i="17"/>
  <c r="E49" i="17" s="1"/>
  <c r="E50" i="17" l="1"/>
  <c r="E51" i="17" s="1"/>
  <c r="E51" i="14"/>
  <c r="E52" i="14" s="1"/>
  <c r="E53" i="14" l="1"/>
  <c r="E54" i="14" s="1"/>
</calcChain>
</file>

<file path=xl/comments1.xml><?xml version="1.0" encoding="utf-8"?>
<comments xmlns="http://schemas.openxmlformats.org/spreadsheetml/2006/main">
  <authors>
    <author>Aasen, Asle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Aasen, Asle: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imes New Roman"/>
            <family val="1"/>
          </rPr>
          <t>Grenseverdiene må fastsettes for den relevante parameter i hvert enkelt tilfelle</t>
        </r>
      </text>
    </comment>
  </commentList>
</comments>
</file>

<file path=xl/comments2.xml><?xml version="1.0" encoding="utf-8"?>
<comments xmlns="http://schemas.openxmlformats.org/spreadsheetml/2006/main">
  <authors>
    <author>Aasen, Asle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Aasen, Asle: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imes New Roman"/>
            <family val="1"/>
          </rPr>
          <t>Grenseverdiene må fastsettes for den relevante parameter i hvert enkelt tilfelle</t>
        </r>
      </text>
    </comment>
  </commentList>
</comments>
</file>

<file path=xl/sharedStrings.xml><?xml version="1.0" encoding="utf-8"?>
<sst xmlns="http://schemas.openxmlformats.org/spreadsheetml/2006/main" count="1126" uniqueCount="466">
  <si>
    <t xml:space="preserve">Andre driftsmessige tiltak: </t>
  </si>
  <si>
    <t>Sum fradrag kategori A</t>
  </si>
  <si>
    <t>Vurdering Ja/Nei</t>
  </si>
  <si>
    <t>Sum fradrag kategori B</t>
  </si>
  <si>
    <t>Sum fradrag kategori C</t>
  </si>
  <si>
    <t>Sum fradrag kategori D</t>
  </si>
  <si>
    <t>Alarm hvis drift er utenfor valideringsområdet</t>
  </si>
  <si>
    <t>Maksimal log-kreditt for vannbehandling utover sluttdesinfeksjon</t>
    <phoneticPr fontId="4" type="noConversion"/>
  </si>
  <si>
    <t>Vannbehandlingstiltak utover sluttdesinfeksjon</t>
    <phoneticPr fontId="4" type="noConversion"/>
  </si>
  <si>
    <t>Sum A tiltak</t>
  </si>
  <si>
    <t>Sum B tiltak</t>
  </si>
  <si>
    <t>Sum C tiltak</t>
  </si>
  <si>
    <t>% av Ct-beregnet inaktiverings-grad</t>
  </si>
  <si>
    <t>Tiltak ved kortvarig doseringsbortfall av kjemisk desinfeksjonsmiddel</t>
  </si>
  <si>
    <t>Andre tiltak</t>
  </si>
  <si>
    <t>Tiltak for å redusere risikoen for doseringsbortfall av kjemisk desinfeksjonsmiddel</t>
  </si>
  <si>
    <t>Vurdering (Ja/nei)</t>
  </si>
  <si>
    <t>NEI</t>
  </si>
  <si>
    <t xml:space="preserve">Inndeling i reaktorer slik at man kan opprettholde full forsyning ved bortfall av en  </t>
  </si>
  <si>
    <t xml:space="preserve">Separat vannmengdemåling for hver UV reaktor </t>
  </si>
  <si>
    <t>Tilfredsstillende måleutstyr installert</t>
  </si>
  <si>
    <t xml:space="preserve">Utjevningsvolum plassert etter UV-anlegg </t>
  </si>
  <si>
    <t>Reserve desinfeksjonsanlegg installert</t>
  </si>
  <si>
    <t>God dosekontroll</t>
  </si>
  <si>
    <t>Automatisk stans i all vannproduksjon hvis drift er utenfor valideringsområdet</t>
  </si>
  <si>
    <t>Maksimal log-kreditt for tiltak knyttet til løsmassebrønner, hvorav</t>
    <phoneticPr fontId="4" type="noConversion"/>
  </si>
  <si>
    <t>Tiltak knyttet til vannkilde og nedslagsfelt - grunnvann</t>
    <phoneticPr fontId="4" type="noConversion"/>
  </si>
  <si>
    <t xml:space="preserve">Reserve doseringsutstyr for desinfeksjon installert </t>
  </si>
  <si>
    <t>Maksimal log-kreditt for overvåkingstiltak på råvann (3.8)</t>
    <phoneticPr fontId="4" type="noConversion"/>
  </si>
  <si>
    <t>Med elver og bekker som kilde</t>
    <phoneticPr fontId="4" type="noConversion"/>
  </si>
  <si>
    <t>Fjellbrønner</t>
    <phoneticPr fontId="4" type="noConversion"/>
  </si>
  <si>
    <t>Løsmassebrønner</t>
    <phoneticPr fontId="4" type="noConversion"/>
  </si>
  <si>
    <t>Med grunnvann som kilde</t>
    <phoneticPr fontId="4" type="noConversion"/>
  </si>
  <si>
    <t>Med innsjøer som kilde</t>
    <phoneticPr fontId="4" type="noConversion"/>
  </si>
  <si>
    <t>Absolutt maksimalt oppnåelig log-kreditt gjennom tiltak både i vannkilde/nedslagsfelt og vannbehandling utover sluttdesinfeksjon</t>
    <phoneticPr fontId="4" type="noConversion"/>
  </si>
  <si>
    <t>Maksimal log-kreditt for driftsovervåkning vannbehandlingsanlegget</t>
    <phoneticPr fontId="4" type="noConversion"/>
  </si>
  <si>
    <t>Tiltak knyttet til inntak</t>
    <phoneticPr fontId="4" type="noConversion"/>
  </si>
  <si>
    <t>A</t>
  </si>
  <si>
    <t>A1</t>
  </si>
  <si>
    <t>A2</t>
  </si>
  <si>
    <t>B</t>
  </si>
  <si>
    <t>B1</t>
  </si>
  <si>
    <t>B2</t>
  </si>
  <si>
    <t>B3</t>
  </si>
  <si>
    <t>C</t>
  </si>
  <si>
    <t>C1</t>
  </si>
  <si>
    <t>C2</t>
  </si>
  <si>
    <t>C3</t>
  </si>
  <si>
    <t>C4</t>
  </si>
  <si>
    <t>C5</t>
  </si>
  <si>
    <t>D</t>
  </si>
  <si>
    <t>D1</t>
  </si>
  <si>
    <t>D2</t>
  </si>
  <si>
    <t>D3</t>
  </si>
  <si>
    <t>D4</t>
  </si>
  <si>
    <t>D5</t>
  </si>
  <si>
    <t>D6</t>
  </si>
  <si>
    <t>D7</t>
  </si>
  <si>
    <t>UPS installert</t>
  </si>
  <si>
    <t>Nødstrømsaggregat installert</t>
  </si>
  <si>
    <t>Dokumentasjon av god kvalitet på strømforsyningen</t>
  </si>
  <si>
    <t xml:space="preserve">Andre dimensjonerende tiltak: </t>
  </si>
  <si>
    <t>Sanering av alle avløpsutslipp direkte til kilden og til bekker og elver som leder direkte til kilden</t>
    <phoneticPr fontId="4" type="noConversion"/>
  </si>
  <si>
    <t>Vurdering (Ja/nei)</t>
    <phoneticPr fontId="4" type="noConversion"/>
  </si>
  <si>
    <t>Innføre forbud mot alle former for jordbruksdrift i sonen, herunder grasproduksjon, gjødsling, bruk av plantevernmidler og bruk av sonen (eller deler av den) som beitemark for husdyr</t>
    <phoneticPr fontId="4" type="noConversion"/>
  </si>
  <si>
    <t>Innføre forbud mot nybygg og andre potensielt forurensende aktiviteter i nedbørfeltet - herunder alle former for deponier</t>
    <phoneticPr fontId="4" type="noConversion"/>
  </si>
  <si>
    <t>Maksimal log-kreditt, hvorav</t>
    <phoneticPr fontId="4" type="noConversion"/>
  </si>
  <si>
    <t xml:space="preserve">Virus </t>
  </si>
  <si>
    <t>Tiltak knyttet til vannkilde og nedslagsfelt - innsjøer</t>
    <phoneticPr fontId="4" type="noConversion"/>
  </si>
  <si>
    <t>Virus</t>
    <phoneticPr fontId="4" type="noConversion"/>
  </si>
  <si>
    <t>Bakterier</t>
    <phoneticPr fontId="4" type="noConversion"/>
  </si>
  <si>
    <t>Maksimal log-kreditt knyttet til overvåkning av råvannskvalitet - forutsetter automatisk avstengning av råvannstilførsel fra aktuell kilde ved overskridelse av grenseverdi</t>
    <phoneticPr fontId="4" type="noConversion"/>
  </si>
  <si>
    <t>Tiltak knyttet til vannkilde og nedslagsfelt - Elver og bekker</t>
    <phoneticPr fontId="4" type="noConversion"/>
  </si>
  <si>
    <t>Maksimal log-kreditt for overvåkingstiltak på råvann</t>
    <phoneticPr fontId="4" type="noConversion"/>
  </si>
  <si>
    <t>Maksimal log-kreditt for tiltak knyttet til fjellbrønner, hvorav</t>
    <phoneticPr fontId="4" type="noConversion"/>
  </si>
  <si>
    <t>Innføre forbud mot alle former for kloakkutslipp til grunnen, herunder bruk av infiltrasjonsanlegg, spredning av kloakkslam med mer</t>
    <phoneticPr fontId="4" type="noConversion"/>
  </si>
  <si>
    <t>Barrieretiltak</t>
    <phoneticPr fontId="4" type="noConversion"/>
  </si>
  <si>
    <t>Maksimal log-kreditt for ulike tiltak i nye anlegg</t>
    <phoneticPr fontId="4" type="noConversion"/>
  </si>
  <si>
    <t>Maksimal log-kreditt for fysiske og restriktive tiltak (3.4)</t>
    <phoneticPr fontId="4" type="noConversion"/>
  </si>
  <si>
    <t>Vurdering JA/NEI</t>
    <phoneticPr fontId="4" type="noConversion"/>
  </si>
  <si>
    <t>Senking av råvannsinntak til et dyp som sikrer at sprangsjiktet ikke når ned til inntaket bortsett fra i sirkulasjonsperioder</t>
    <phoneticPr fontId="4" type="noConversion"/>
  </si>
  <si>
    <t>Reduksjon av forurensningstilførsel til vannkilden</t>
    <phoneticPr fontId="4" type="noConversion"/>
  </si>
  <si>
    <t>Flytting av råvannsinntaket slik at det kan dokumenteres gjennom hydrauliske studier at tilførsler av avløpsvann og avføring fra beitedyr via elver, bekker påvirker inntaket i ubetydelig grad</t>
    <phoneticPr fontId="4" type="noConversion"/>
  </si>
  <si>
    <t>Øket prøvetakings frekvens</t>
    <phoneticPr fontId="4" type="noConversion"/>
  </si>
  <si>
    <t>Restriksjoner på aktivitet i vannkilde og nedbørfelt</t>
    <phoneticPr fontId="4" type="noConversion"/>
  </si>
  <si>
    <t>Innføre forbud/restriksjoner mot beitedyr i nedbørfeltet</t>
    <phoneticPr fontId="4" type="noConversion"/>
  </si>
  <si>
    <t>Vannverkets størrelse</t>
    <phoneticPr fontId="4" type="noConversion"/>
  </si>
  <si>
    <t>A</t>
    <phoneticPr fontId="4" type="noConversion"/>
  </si>
  <si>
    <t>B</t>
    <phoneticPr fontId="4" type="noConversion"/>
  </si>
  <si>
    <t>C</t>
    <phoneticPr fontId="4" type="noConversion"/>
  </si>
  <si>
    <t>D</t>
    <phoneticPr fontId="4" type="noConversion"/>
  </si>
  <si>
    <t>b</t>
    <phoneticPr fontId="4" type="noConversion"/>
  </si>
  <si>
    <t>&lt;1000</t>
    <phoneticPr fontId="4" type="noConversion"/>
  </si>
  <si>
    <t>1000 - 10000</t>
    <phoneticPr fontId="4" type="noConversion"/>
  </si>
  <si>
    <t>&gt;10000</t>
    <phoneticPr fontId="4" type="noConversion"/>
  </si>
  <si>
    <t>v</t>
    <phoneticPr fontId="4" type="noConversion"/>
  </si>
  <si>
    <t>p</t>
    <phoneticPr fontId="4" type="noConversion"/>
  </si>
  <si>
    <t>Bakterier</t>
  </si>
  <si>
    <t>Virus</t>
  </si>
  <si>
    <t>Parasitter</t>
  </si>
  <si>
    <t>E</t>
  </si>
  <si>
    <t>Nødvendig barrierehøyde</t>
  </si>
  <si>
    <t>Reduksjon i fratrekk</t>
  </si>
  <si>
    <t>Prosedyren bygger på følgende:</t>
  </si>
  <si>
    <t>Man tar utgangspunkt i risiko- og sårbarhetssituasjonen gitt ved:</t>
  </si>
  <si>
    <t>Vannverkets størrelse</t>
  </si>
  <si>
    <t>Barrieretiltak som settes inn i nedslagsfelt og vannkilde</t>
  </si>
  <si>
    <t>Vannbehandlingstiltak utover sluttdesinfeksjonen</t>
  </si>
  <si>
    <t>Overvåknings- og kontrolltiltak for vannkilde og vannbehandlingsanlegg</t>
  </si>
  <si>
    <t>1.1</t>
  </si>
  <si>
    <t>1.2</t>
  </si>
  <si>
    <t>1.3</t>
  </si>
  <si>
    <t>2.1</t>
  </si>
  <si>
    <t>3.1</t>
  </si>
  <si>
    <t>3.2</t>
  </si>
  <si>
    <t>3.3</t>
  </si>
  <si>
    <t>JA</t>
  </si>
  <si>
    <t xml:space="preserve">Bakterier </t>
  </si>
  <si>
    <t>(3 log)</t>
  </si>
  <si>
    <t>Parasitter av gruppen</t>
  </si>
  <si>
    <t>(2 log)</t>
  </si>
  <si>
    <t>pH &lt; 7</t>
  </si>
  <si>
    <t>pH 7 – 8</t>
  </si>
  <si>
    <t xml:space="preserve">pH &gt; 8 </t>
  </si>
  <si>
    <t>i.a.</t>
  </si>
  <si>
    <t>Klordioksid</t>
  </si>
  <si>
    <t xml:space="preserve"> i.a. – ikke angitt. Ct-verdien er så høy at den er uinteressant for alle praktiske formål </t>
  </si>
  <si>
    <t>Grad av stempelstrøm</t>
  </si>
  <si>
    <t>Beskrivelse</t>
  </si>
  <si>
    <t>Ingen skjermer, full omblanding, høy inn- og utløpshastighet, lavt lengde/bredde forhold</t>
  </si>
  <si>
    <t>Dårlig</t>
  </si>
  <si>
    <t>Ingen skjermer, single eller multiple innløp og utløp</t>
  </si>
  <si>
    <t>Middels</t>
  </si>
  <si>
    <t>Skjermet innløp eller utløp, noe skjerming i selve bassenget</t>
  </si>
  <si>
    <t>Ganske bra</t>
  </si>
  <si>
    <t>Skjermet innløp og utløp, ledevegger i bassenget. Høyt lengde/bredde forhold</t>
  </si>
  <si>
    <t>Svært bra</t>
  </si>
  <si>
    <t>Skjermet innløp og utløp, ledevegger i bassenget. Svært høyt lengde/bredde forhold</t>
  </si>
  <si>
    <t>Rørstrømning</t>
  </si>
  <si>
    <r>
      <t>1</t>
    </r>
    <r>
      <rPr>
        <sz val="9"/>
        <rFont val="Arial"/>
        <family val="2"/>
      </rPr>
      <t>Faktor som som t</t>
    </r>
    <r>
      <rPr>
        <vertAlign val="subscript"/>
        <sz val="9"/>
        <rFont val="Arial"/>
        <family val="2"/>
      </rPr>
      <t>10</t>
    </r>
    <r>
      <rPr>
        <sz val="9"/>
        <rFont val="Arial"/>
        <family val="2"/>
      </rPr>
      <t xml:space="preserve">/T multipliseres med når man har hhv. 2 og 3 kammer i serie i kontaktbassenget </t>
    </r>
  </si>
  <si>
    <t>Ingen (ideell blanding)</t>
  </si>
  <si>
    <t>Perfekt (stempelstrøm)</t>
  </si>
  <si>
    <t>min</t>
  </si>
  <si>
    <t>mg TOC/l</t>
  </si>
  <si>
    <t>Innføring av lukkede avløpssystemer (lukket tank) for alle utslipp i nedbørfeltet eller bortledning av avløpsvann fra nedslagsfelt</t>
  </si>
  <si>
    <t>Oppsetting av stengsel for å hindre at beitedyr og hunder kommer i direkte kontakt med kilden samt oppsetting av avfallskontainere (inkludert kontainere for hundeavføring) i nedbørfeltet</t>
  </si>
  <si>
    <t>Innføre forbud mot nybygg og andre potensielt forurensende aktiviteter i nedbørfeltet f.eks. motorferdsel</t>
  </si>
  <si>
    <t>Sone 0
Brønnsonen</t>
  </si>
  <si>
    <t>Utbedring av brønnutforming</t>
  </si>
  <si>
    <t>Beskyttelse av brønn med brønnhus med tett gulv og tetting rundt brønnrør</t>
  </si>
  <si>
    <t>Heving av brønnrør til minst 40 cm over bakkenivå samt tett lokk</t>
  </si>
  <si>
    <t>a) Mangler</t>
  </si>
  <si>
    <t>On-line overvåking av vannkvaliteten i behandlet vann med oppfølgingstiltak ved overskridelser av grenseverdi</t>
  </si>
  <si>
    <t>Kontinuerlig overvåkning av strømtilførsel med oppfølgingstiltak ved bortfall av strømtilførsel</t>
  </si>
  <si>
    <r>
      <t>40 mJ/cm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biodosimetrisk eks. Adenovirus</t>
    </r>
  </si>
  <si>
    <r>
      <t>30 mJ/cm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gjennomsnittsdose eks. Adenovirus</t>
    </r>
  </si>
  <si>
    <r>
      <t>40 mJ/cm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biodosimetrisk basert på Adenovirus</t>
    </r>
  </si>
  <si>
    <r>
      <t>30 mJ/cm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gjennomsnittsdose basert på Adenovirus</t>
    </r>
  </si>
  <si>
    <t>Velg kategori ….</t>
  </si>
  <si>
    <t>X</t>
  </si>
  <si>
    <r>
      <t>pH &lt; 7 og temperatur 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C</t>
    </r>
  </si>
  <si>
    <r>
      <t>pH &gt; 8 og temperatur 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C</t>
    </r>
  </si>
  <si>
    <t>bakterier</t>
  </si>
  <si>
    <t>Giardia</t>
  </si>
  <si>
    <t>Cryptosporidium</t>
  </si>
  <si>
    <r>
      <t>pH 7 - 8 og temperatur 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C</t>
    </r>
  </si>
  <si>
    <r>
      <t>pH &lt; 7 og temperatur 0,5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C</t>
    </r>
  </si>
  <si>
    <r>
      <t>pH 7 - 8 og temperatur 0,5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C</t>
    </r>
  </si>
  <si>
    <r>
      <t>pH &gt; 8 og temperatur 0,5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C</t>
    </r>
  </si>
  <si>
    <t>3 log</t>
  </si>
  <si>
    <t>2 log</t>
  </si>
  <si>
    <t>Crypto-sporidium</t>
  </si>
  <si>
    <t>Nødvendig log-reduksjon i sluttdesinfeksjon</t>
  </si>
  <si>
    <t>Har ikke UV</t>
  </si>
  <si>
    <t>&gt;100</t>
  </si>
  <si>
    <t>&gt;150</t>
  </si>
  <si>
    <r>
      <t>Tabell 3.2 Veiledende verdier for hydraulisk faktor (t</t>
    </r>
    <r>
      <rPr>
        <i/>
        <vertAlign val="subscript"/>
        <sz val="10"/>
        <rFont val="Verdana"/>
        <family val="2"/>
      </rPr>
      <t>10</t>
    </r>
    <r>
      <rPr>
        <i/>
        <sz val="10"/>
        <rFont val="Verdana"/>
        <family val="2"/>
      </rPr>
      <t>/T). Sett kryss ved grad av stempelstrømning og kammerløsning</t>
    </r>
  </si>
  <si>
    <r>
      <t>Hydraulisk faktor F</t>
    </r>
    <r>
      <rPr>
        <b/>
        <vertAlign val="subscript"/>
        <sz val="11"/>
        <rFont val="Times New Roman"/>
        <family val="1"/>
      </rPr>
      <t>h</t>
    </r>
    <r>
      <rPr>
        <b/>
        <vertAlign val="superscript"/>
        <sz val="11"/>
        <rFont val="Times New Roman"/>
        <family val="1"/>
      </rPr>
      <t>1.2</t>
    </r>
  </si>
  <si>
    <r>
      <t>t</t>
    </r>
    <r>
      <rPr>
        <b/>
        <vertAlign val="subscript"/>
        <sz val="9"/>
        <rFont val="Verdana"/>
        <family val="2"/>
      </rPr>
      <t>10</t>
    </r>
    <r>
      <rPr>
        <b/>
        <sz val="9"/>
        <rFont val="Verdana"/>
        <family val="2"/>
      </rPr>
      <t>/T</t>
    </r>
    <r>
      <rPr>
        <b/>
        <vertAlign val="superscript"/>
        <sz val="9"/>
        <rFont val="Verdana"/>
        <family val="2"/>
      </rPr>
      <t>1</t>
    </r>
  </si>
  <si>
    <r>
      <t>t</t>
    </r>
    <r>
      <rPr>
        <b/>
        <vertAlign val="subscript"/>
        <sz val="11"/>
        <rFont val="Times New Roman"/>
        <family val="1"/>
      </rPr>
      <t>m</t>
    </r>
    <r>
      <rPr>
        <b/>
        <sz val="11"/>
        <rFont val="Times New Roman"/>
        <family val="1"/>
      </rPr>
      <t>/T</t>
    </r>
    <r>
      <rPr>
        <b/>
        <vertAlign val="superscript"/>
        <sz val="11"/>
        <rFont val="Times New Roman"/>
        <family val="1"/>
      </rPr>
      <t>2</t>
    </r>
  </si>
  <si>
    <t>Kamre i serie</t>
  </si>
  <si>
    <r>
      <t>Serie faktor F</t>
    </r>
    <r>
      <rPr>
        <b/>
        <vertAlign val="subscript"/>
        <sz val="9"/>
        <rFont val="Verdana"/>
        <family val="2"/>
      </rPr>
      <t>s</t>
    </r>
  </si>
  <si>
    <t>Tabell 3.1 Dimensjonerende Ct-verdi (mg.min/l) for inaktivering av bakterier, virus og parasitter</t>
  </si>
  <si>
    <t>Valg av desinfeksjonsmetode UV</t>
  </si>
  <si>
    <t>Innblanding/reaktor system</t>
  </si>
  <si>
    <t>Diffusor/injektor innblanding, pakket bobletank</t>
  </si>
  <si>
    <t>Diffusor/injektor innblanding, bobletank uten pakking</t>
  </si>
  <si>
    <t>Injektor innblanding etterfulgt av lukket rør</t>
  </si>
  <si>
    <t>Ct-verdi</t>
  </si>
  <si>
    <t>Inngangsdata:
Dette er opplysninger om egen drift som forutsettes gitt for å kunne gjennomføre beregningen</t>
  </si>
  <si>
    <t>Vannverkseier:</t>
  </si>
  <si>
    <t>Vannverkets navn:</t>
  </si>
  <si>
    <t xml:space="preserve">Vannverkseier: </t>
  </si>
  <si>
    <t>For grunnvann i fjell: Etablering av fullstendig tetting mellom foringsrør og fjell</t>
  </si>
  <si>
    <t>b) Er tilstede og aktiverer en alarm ved overskridelse av satt grenseverdi - som leder til manuell korreksjon slik at normal drift gjenopprettes</t>
  </si>
  <si>
    <t>Innføre forbud/restriksjoner mot bruk av vannkilden til båtsport, bading og annen aktivitet, f.eks. motorferdsel</t>
  </si>
  <si>
    <t>a</t>
  </si>
  <si>
    <t>b</t>
  </si>
  <si>
    <t>c</t>
  </si>
  <si>
    <r>
      <t xml:space="preserve">Råvannets hygieniske kvalitet – som leder til et gitt </t>
    </r>
    <r>
      <rPr>
        <b/>
        <sz val="12"/>
        <rFont val="Arial"/>
        <family val="2"/>
      </rPr>
      <t>kvalitetsnivå</t>
    </r>
  </si>
  <si>
    <r>
      <t xml:space="preserve">Det utgangspunkt som pkt 1 gir, bestemmer den </t>
    </r>
    <r>
      <rPr>
        <b/>
        <sz val="12"/>
        <rFont val="Arial"/>
        <family val="2"/>
      </rPr>
      <t>barrierehøyde</t>
    </r>
    <r>
      <rPr>
        <sz val="12"/>
        <rFont val="Arial"/>
        <family val="2"/>
      </rPr>
      <t xml:space="preserve"> som må overkommes for å sikre en tilstrekkelig hygienisk barrierevirkning i hele vannverket.</t>
    </r>
  </si>
  <si>
    <r>
      <t xml:space="preserve">Så gis det </t>
    </r>
    <r>
      <rPr>
        <b/>
        <sz val="12"/>
        <rFont val="Arial"/>
        <family val="2"/>
      </rPr>
      <t xml:space="preserve">”log-kreditt” </t>
    </r>
    <r>
      <rPr>
        <sz val="12"/>
        <rFont val="Arial"/>
        <family val="2"/>
      </rPr>
      <t>(fradrag) for:</t>
    </r>
  </si>
  <si>
    <t>Log-kreditt for tiltak for overvåkning av råvannskvalitet (tabell 2.7)</t>
  </si>
  <si>
    <t>Log-kreditt for NYE fysiske og restriktive tiltak i innsjøer og nedslagsfelt (tabell 2.4)</t>
  </si>
  <si>
    <t>- Bytte vannkilde</t>
  </si>
  <si>
    <t xml:space="preserve"> Log-kreditt for NYE barrieretiltak knyttet til grunnvann (tabell 2.5)</t>
  </si>
  <si>
    <t>Inngjerding av / avlåsing av brønnsonen</t>
  </si>
  <si>
    <t>Sone 1
Det nære tilsigsområdet.    For grunnvann i fjell strekker sone 1 seg til 100 m fra ytre grense sone 0</t>
  </si>
  <si>
    <t>Sone 2
Det fjerne tilsigsområdet.    For grunnvann i fjell strekker sone 2 seg til 100m fra den ytre grense av sone 1.</t>
  </si>
  <si>
    <t>Fratrekk i log-kreditt for vannbehandling 
ved manglende driftsovervåkingstiltak (tabell 2.9)</t>
  </si>
  <si>
    <t>Det forutsettes at MBA-rapport 209/2014 er lest eller kan slås opp i når man bruker denne Excel-baserte modellen.</t>
  </si>
  <si>
    <t>Vannkvalitetsnivå i kilde finnes ved å benytte tabellen nedenfor (tabell 2.2 fra rapport 209/2014). Her tas utgangspunkt i historiske vannkvalitetsdata for råvann (se figuren ovenfor). Forekommer utslipp av renset eller urenset avløpsvann til drikkevannskilden, er kilden direkte i kategori D (Da, Db eller Dc). Sammen med vannverkets størrelse finner man nødvendig barrierehøyde.</t>
  </si>
  <si>
    <t>Log-kreditt for tiltak i vannbehandlingsanlegg med partikkelseparering, inkl. eventuelle fratrekk for brister i driftsovervåking. Overføres til oppsummering.</t>
  </si>
  <si>
    <r>
      <t xml:space="preserve">Manglende tiltak gir maksimalt </t>
    </r>
    <r>
      <rPr>
        <b/>
        <sz val="11"/>
        <rFont val="Arial"/>
        <family val="2"/>
      </rPr>
      <t>fratrekk på</t>
    </r>
  </si>
  <si>
    <r>
      <t>Stråledose 40 mJ/cm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bestemt biodosimetrisk</t>
    </r>
  </si>
  <si>
    <r>
      <t>Stråledose 30 mJ/cm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beregnet gjennomsnitt</t>
    </r>
  </si>
  <si>
    <t>Utvidet mikrobiell analyse i råvann: minst som risikobasert prøveprogram</t>
  </si>
  <si>
    <t>Utvidet mikrobiell analyse i råvann: minst som angitt for nettkontroll</t>
  </si>
  <si>
    <r>
      <t>Stråledose 30 mJ/cm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bestemt biodosimetrisk</t>
    </r>
  </si>
  <si>
    <r>
      <t>Stråledose 25 mJ/cm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bestemt biodosimetrisk</t>
    </r>
  </si>
  <si>
    <t>Virus ekskl. Adenovirus</t>
  </si>
  <si>
    <t>Driftsdokumentasjon i form av varighetskurver (dvs. kurver over beregnet stråledose som funksjon av tiden)</t>
  </si>
  <si>
    <t>Lager med kritisk reserveutstyr (lamper, kvartsglass, UV-sensorer, ballastkort, viskere o.l.)</t>
  </si>
  <si>
    <t>Tilfredstillende rutiner for rengjøring, kontroll og kalibrering av UV-sensorer</t>
  </si>
  <si>
    <t xml:space="preserve">Automatisk stans i all vannproduksjon i forbindelse med oppstart av UV-aggregat </t>
  </si>
  <si>
    <t xml:space="preserve">Tiltak ved kortvarig doseringsbortfall eller redusert UV-effekt: </t>
  </si>
  <si>
    <t xml:space="preserve">Alarm og automatisk start av reserve desinfeksjon </t>
  </si>
  <si>
    <t>Automatisk stengning av all vannproduksjon (krever at det er tilstrekkelig utjevningsmagasin på rentvannssiden)</t>
  </si>
  <si>
    <r>
      <t>UV-anleggets dimensjonerende UV-transmisjon pr. 5 cm (UVT</t>
    </r>
    <r>
      <rPr>
        <vertAlign val="subscript"/>
        <sz val="11"/>
        <color theme="1"/>
        <rFont val="Arial"/>
        <family val="2"/>
      </rPr>
      <t>50</t>
    </r>
    <r>
      <rPr>
        <sz val="11"/>
        <color theme="1"/>
        <rFont val="Arial"/>
        <family val="2"/>
      </rPr>
      <t>)</t>
    </r>
  </si>
  <si>
    <t>I henhold til figur 3.7 gir dette en reduksjonsfaktor på:</t>
  </si>
  <si>
    <r>
      <t>UV-transmisjon pr. 5 cm i råvannet / vann etter svikt i foregående partikkelfjeringstrinn (UVT</t>
    </r>
    <r>
      <rPr>
        <vertAlign val="subscript"/>
        <sz val="11"/>
        <color theme="1"/>
        <rFont val="Arial"/>
        <family val="2"/>
      </rPr>
      <t>50</t>
    </r>
    <r>
      <rPr>
        <sz val="11"/>
        <color theme="1"/>
        <rFont val="Arial"/>
        <family val="2"/>
      </rPr>
      <t>)</t>
    </r>
  </si>
  <si>
    <r>
      <t>mg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/l</t>
    </r>
  </si>
  <si>
    <r>
      <t>Giardia</t>
    </r>
    <r>
      <rPr>
        <b/>
        <sz val="9"/>
        <rFont val="Arial"/>
        <family val="2"/>
      </rPr>
      <t xml:space="preserve"> </t>
    </r>
  </si>
  <si>
    <r>
      <t>Cryptosporidium</t>
    </r>
    <r>
      <rPr>
        <b/>
        <sz val="9"/>
        <rFont val="Arial"/>
        <family val="2"/>
      </rPr>
      <t xml:space="preserve"> </t>
    </r>
  </si>
  <si>
    <r>
      <t>4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C</t>
    </r>
  </si>
  <si>
    <r>
      <t>0,5</t>
    </r>
    <r>
      <rPr>
        <vertAlign val="superscript"/>
        <sz val="9"/>
        <rFont val="Arial"/>
        <family val="2"/>
      </rPr>
      <t xml:space="preserve"> o</t>
    </r>
    <r>
      <rPr>
        <sz val="9"/>
        <rFont val="Arial"/>
        <family val="2"/>
      </rPr>
      <t>C</t>
    </r>
  </si>
  <si>
    <r>
      <t>0,5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C</t>
    </r>
  </si>
  <si>
    <t>minutter</t>
  </si>
  <si>
    <t>Ingen skjermer, single eller multiple innløp  og utløp</t>
  </si>
  <si>
    <r>
      <t>1</t>
    </r>
    <r>
      <rPr>
        <sz val="9"/>
        <rFont val="Arial"/>
        <family val="2"/>
      </rPr>
      <t>Faktor som t</t>
    </r>
    <r>
      <rPr>
        <vertAlign val="subscript"/>
        <sz val="9"/>
        <rFont val="Arial"/>
        <family val="2"/>
      </rPr>
      <t>10</t>
    </r>
    <r>
      <rPr>
        <sz val="9"/>
        <rFont val="Arial"/>
        <family val="2"/>
      </rPr>
      <t xml:space="preserve">/T multipliseres med når man har hhv. 2 og 3 kammer i serie i kontaktbassenget </t>
    </r>
  </si>
  <si>
    <r>
      <t>Hydraulisk faktor F</t>
    </r>
    <r>
      <rPr>
        <b/>
        <vertAlign val="subscript"/>
        <sz val="11"/>
        <rFont val="Arial"/>
        <family val="2"/>
      </rPr>
      <t>h</t>
    </r>
  </si>
  <si>
    <r>
      <t>t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>/T</t>
    </r>
  </si>
  <si>
    <r>
      <t>t</t>
    </r>
    <r>
      <rPr>
        <b/>
        <vertAlign val="subscript"/>
        <sz val="11"/>
        <rFont val="Arial"/>
        <family val="2"/>
      </rPr>
      <t>m</t>
    </r>
    <r>
      <rPr>
        <b/>
        <sz val="11"/>
        <rFont val="Arial"/>
        <family val="2"/>
      </rPr>
      <t>/T</t>
    </r>
  </si>
  <si>
    <t>Log-kreditt i vannbehandlingsanlegg med
partikkelseparering (tabell 2.8)</t>
  </si>
  <si>
    <r>
      <t>Serie faktor, F</t>
    </r>
    <r>
      <rPr>
        <vertAlign val="subscript"/>
        <sz val="11"/>
        <rFont val="Arial"/>
        <family val="2"/>
      </rPr>
      <t>s</t>
    </r>
  </si>
  <si>
    <t>Teoretisk oppholdstid, T=Q/V (min)</t>
  </si>
  <si>
    <t xml:space="preserve">Effektiv oppholdstid i klorkontaktbassenget                                                                         (beregnet ut fra tabell 3.2 og teoretisk oppholdstid) </t>
  </si>
  <si>
    <t>mg*min/l</t>
  </si>
  <si>
    <r>
      <t>mg Cl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/l</t>
    </r>
  </si>
  <si>
    <t>Beregnede verdier</t>
  </si>
  <si>
    <t>Metode for bestemmelse av IF og k</t>
  </si>
  <si>
    <r>
      <t>Dimensjonerende Ct-verdi (mg</t>
    </r>
    <r>
      <rPr>
        <b/>
        <vertAlign val="superscript"/>
        <sz val="12"/>
        <rFont val="Arial"/>
        <family val="2"/>
      </rPr>
      <t>.</t>
    </r>
    <r>
      <rPr>
        <b/>
        <sz val="12"/>
        <rFont val="Arial"/>
        <family val="2"/>
      </rPr>
      <t>min/l) for inaktivering av bakterier, virus og parasitter
(tabell 3.1 - til hjelp for valg av forutsetninger)</t>
    </r>
  </si>
  <si>
    <t>Veiledende verdier for hydraulisk faktor (tabell 3.2). Nedtrekksmeny og valg JA for grad av stempelstrømning og kammerløsning:</t>
  </si>
  <si>
    <r>
      <t>Effektiv oppholdstid t</t>
    </r>
    <r>
      <rPr>
        <b/>
        <vertAlign val="subscript"/>
        <sz val="11"/>
        <rFont val="Arial"/>
        <family val="2"/>
      </rPr>
      <t>eff</t>
    </r>
    <r>
      <rPr>
        <b/>
        <sz val="11"/>
        <rFont val="Arial"/>
        <family val="2"/>
      </rPr>
      <t xml:space="preserve"> basert på t</t>
    </r>
    <r>
      <rPr>
        <b/>
        <vertAlign val="subscript"/>
        <sz val="11"/>
        <rFont val="Arial"/>
        <family val="2"/>
      </rPr>
      <t>10</t>
    </r>
    <r>
      <rPr>
        <b/>
        <sz val="11"/>
        <rFont val="Arial"/>
        <family val="2"/>
      </rPr>
      <t>/T</t>
    </r>
  </si>
  <si>
    <r>
      <t>(t</t>
    </r>
    <r>
      <rPr>
        <vertAlign val="subscript"/>
        <sz val="12"/>
        <rFont val="Arial"/>
        <family val="2"/>
      </rPr>
      <t>eff</t>
    </r>
    <r>
      <rPr>
        <sz val="12"/>
        <rFont val="Arial"/>
        <family val="2"/>
      </rPr>
      <t xml:space="preserve"> basert på t</t>
    </r>
    <r>
      <rPr>
        <vertAlign val="subscript"/>
        <sz val="12"/>
        <rFont val="Arial"/>
        <family val="2"/>
      </rPr>
      <t>10</t>
    </r>
    <r>
      <rPr>
        <sz val="12"/>
        <rFont val="Arial"/>
        <family val="2"/>
      </rPr>
      <t>/T)</t>
    </r>
  </si>
  <si>
    <t>Beregnet inaktiveringsgrad</t>
  </si>
  <si>
    <t>Automatisk stengning av all vannproduksjon.</t>
  </si>
  <si>
    <t xml:space="preserve">Alarm og automatisk start av reserve doseringsutstyr </t>
  </si>
  <si>
    <t xml:space="preserve">Lager med kritisk reserveutstyr </t>
  </si>
  <si>
    <r>
      <t>Hydraulisk faktor, F</t>
    </r>
    <r>
      <rPr>
        <vertAlign val="subscript"/>
        <sz val="11"/>
        <rFont val="Arial"/>
        <family val="2"/>
      </rPr>
      <t>h</t>
    </r>
    <r>
      <rPr>
        <sz val="11"/>
        <rFont val="Arial"/>
        <family val="2"/>
      </rPr>
      <t xml:space="preserve"> basert på t</t>
    </r>
    <r>
      <rPr>
        <vertAlign val="subscript"/>
        <sz val="11"/>
        <rFont val="Arial"/>
        <family val="2"/>
      </rPr>
      <t>m</t>
    </r>
    <r>
      <rPr>
        <sz val="11"/>
        <rFont val="Arial"/>
        <family val="2"/>
      </rPr>
      <t>/T</t>
    </r>
  </si>
  <si>
    <r>
      <t>Hydraulisk faktor, F</t>
    </r>
    <r>
      <rPr>
        <vertAlign val="subscript"/>
        <sz val="11"/>
        <rFont val="Arial"/>
        <family val="2"/>
      </rPr>
      <t>h</t>
    </r>
    <r>
      <rPr>
        <sz val="11"/>
        <rFont val="Arial"/>
        <family val="2"/>
      </rPr>
      <t xml:space="preserve"> basert på t</t>
    </r>
    <r>
      <rPr>
        <vertAlign val="subscript"/>
        <sz val="11"/>
        <rFont val="Arial"/>
        <family val="2"/>
      </rPr>
      <t>10</t>
    </r>
    <r>
      <rPr>
        <sz val="11"/>
        <rFont val="Arial"/>
        <family val="2"/>
      </rPr>
      <t>/T</t>
    </r>
  </si>
  <si>
    <r>
      <t>Effektiv oppholdstid t</t>
    </r>
    <r>
      <rPr>
        <b/>
        <vertAlign val="subscript"/>
        <sz val="11"/>
        <rFont val="Arial"/>
        <family val="2"/>
      </rPr>
      <t>eff</t>
    </r>
    <r>
      <rPr>
        <b/>
        <sz val="11"/>
        <rFont val="Arial"/>
        <family val="2"/>
      </rPr>
      <t xml:space="preserve"> basert på t</t>
    </r>
    <r>
      <rPr>
        <b/>
        <vertAlign val="subscript"/>
        <sz val="11"/>
        <rFont val="Arial"/>
        <family val="2"/>
      </rPr>
      <t>m</t>
    </r>
    <r>
      <rPr>
        <b/>
        <sz val="11"/>
        <rFont val="Arial"/>
        <family val="2"/>
      </rPr>
      <t>/T</t>
    </r>
  </si>
  <si>
    <t>KLOR</t>
  </si>
  <si>
    <r>
      <t>C</t>
    </r>
    <r>
      <rPr>
        <vertAlign val="subscript"/>
        <sz val="12"/>
        <rFont val="Arial"/>
        <family val="2"/>
      </rPr>
      <t>inn</t>
    </r>
  </si>
  <si>
    <r>
      <t xml:space="preserve">k </t>
    </r>
    <r>
      <rPr>
        <sz val="10"/>
        <rFont val="Arial"/>
        <family val="2"/>
      </rPr>
      <t>(nedbrytningskonstanten)</t>
    </r>
  </si>
  <si>
    <t>Redusert fratrekk</t>
  </si>
  <si>
    <r>
      <t>30 mJ/cm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biodosimetrisk eks. Adenovirus</t>
    </r>
  </si>
  <si>
    <r>
      <t>30 mJ/cm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biodosimetrisk basert på Adenovirus</t>
    </r>
  </si>
  <si>
    <r>
      <t>ved målinger (C</t>
    </r>
    <r>
      <rPr>
        <vertAlign val="subscript"/>
        <sz val="12"/>
        <rFont val="Calibri"/>
        <family val="2"/>
        <scheme val="minor"/>
      </rPr>
      <t>dose</t>
    </r>
    <r>
      <rPr>
        <sz val="12"/>
        <rFont val="Calibri"/>
        <family val="2"/>
        <scheme val="minor"/>
      </rPr>
      <t>, C</t>
    </r>
    <r>
      <rPr>
        <vertAlign val="subscript"/>
        <sz val="12"/>
        <rFont val="Calibri"/>
        <family val="2"/>
        <scheme val="minor"/>
      </rPr>
      <t>i</t>
    </r>
    <r>
      <rPr>
        <sz val="12"/>
        <rFont val="Calibri"/>
        <family val="2"/>
        <scheme val="minor"/>
      </rPr>
      <t xml:space="preserve"> og C</t>
    </r>
    <r>
      <rPr>
        <vertAlign val="subscript"/>
        <sz val="12"/>
        <rFont val="Calibri"/>
        <family val="2"/>
        <scheme val="minor"/>
      </rPr>
      <t>ut</t>
    </r>
    <r>
      <rPr>
        <sz val="12"/>
        <rFont val="Calibri"/>
        <family val="2"/>
        <scheme val="minor"/>
      </rPr>
      <t>)</t>
    </r>
  </si>
  <si>
    <r>
      <t>ved beregninger (C</t>
    </r>
    <r>
      <rPr>
        <vertAlign val="subscript"/>
        <sz val="12"/>
        <rFont val="Calibri"/>
        <family val="2"/>
        <scheme val="minor"/>
      </rPr>
      <t>dose</t>
    </r>
    <r>
      <rPr>
        <sz val="12"/>
        <rFont val="Calibri"/>
        <family val="2"/>
        <scheme val="minor"/>
      </rPr>
      <t>, TOC)</t>
    </r>
  </si>
  <si>
    <r>
      <t>ved kombinasjon av målinger og beregninger (C</t>
    </r>
    <r>
      <rPr>
        <vertAlign val="subscript"/>
        <sz val="12"/>
        <rFont val="Calibri"/>
        <family val="2"/>
        <scheme val="minor"/>
      </rPr>
      <t>dose,</t>
    </r>
    <r>
      <rPr>
        <sz val="12"/>
        <rFont val="Calibri"/>
        <family val="2"/>
        <scheme val="minor"/>
      </rPr>
      <t xml:space="preserve"> C</t>
    </r>
    <r>
      <rPr>
        <vertAlign val="subscript"/>
        <sz val="12"/>
        <rFont val="Calibri"/>
        <family val="2"/>
        <scheme val="minor"/>
      </rPr>
      <t>ut</t>
    </r>
    <r>
      <rPr>
        <sz val="12"/>
        <rFont val="Calibri"/>
        <family val="2"/>
        <scheme val="minor"/>
      </rPr>
      <t xml:space="preserve"> og TOC)</t>
    </r>
  </si>
  <si>
    <t xml:space="preserve">Ved beregning av Cdose: </t>
  </si>
  <si>
    <t>Hygieinske barrierer før desinfeksjon</t>
  </si>
  <si>
    <t>Innsjøens logkreditt</t>
  </si>
  <si>
    <t>Grunnvannets logkreditt</t>
  </si>
  <si>
    <t>Desinfeksjonens barrierereffekt</t>
  </si>
  <si>
    <t>Klor-tilsats</t>
  </si>
  <si>
    <t>Klordioksid-tilsats</t>
  </si>
  <si>
    <t>Ozon-tilsats</t>
  </si>
  <si>
    <t xml:space="preserve">Hentet fra ark grunnvann </t>
  </si>
  <si>
    <t xml:space="preserve">Hentet fra START-arket (kildekategori og vannverksstørrelse) </t>
  </si>
  <si>
    <t>Hentet fra ark UV</t>
  </si>
  <si>
    <t>Hentet fra ark klor</t>
  </si>
  <si>
    <t>Hentet fra ark klordioksid</t>
  </si>
  <si>
    <t>Hentet fra ark ozon</t>
  </si>
  <si>
    <t xml:space="preserve">Negative verdier viser at vannverket ikke har tilstrekkelige barrierer, og at tiltak må iverksettes. </t>
  </si>
  <si>
    <t>Bestemmelse av nødvendig barrierehøyde</t>
  </si>
  <si>
    <t>Summert log-kreditt knyttet til nye tiltak i innsjø/nedbørfelt og til overvåkning av råvannskvalitet.                                                                      (Absolutt maksimale verdier er 2,0b + 2,0v + 1,25p.) Overføres til oppsummering.</t>
  </si>
  <si>
    <t>Øket prøvetakings- frekvens</t>
  </si>
  <si>
    <t>Online måling av råvannskvalitet</t>
  </si>
  <si>
    <t xml:space="preserve">Online måling av råvannskvalitet (turbiditet, mikrobiell aktivitet eller andre parametere som er egnet til å overvåke mikrobiell kvalitet på råvannet), for ved overskridelse av grenseverdi (set-punkt) å være i stand til å:  </t>
  </si>
  <si>
    <t>Summert log-kreditt for overvåkning av råvannskvalitet. (Maksimale verdier er 0,75b, 0,75v og 0,50p.)</t>
  </si>
  <si>
    <t>Summert log-kreditt knyttet til nye tiltak ved grunnvannsbrønner og til overvåkning av råvannskvalitet.                                                               (Absolutt maksimale verdier er 2,0b + 2,0v + 1,25p.) Overføres til oppsummering.</t>
  </si>
  <si>
    <t>Log-kreditt for barrieretiltak knyttet til innsjøer og nedslagsfelt</t>
  </si>
  <si>
    <t>Langsomfiltrering - Forutsatt filterhastighet &lt; 0,5 m/h</t>
  </si>
  <si>
    <t>Hurtigsandfiltrering uten koagulering - Forutsatt filterhastiget &lt; 7,5 m/h
(gjelder både sandfilter, marmorfilter, biofilter, aktivt kull filter og ionebyttefilter)</t>
  </si>
  <si>
    <t>Mikro membranfiltrering (MF) - Nominell poreåpning &lt; 100 nm</t>
  </si>
  <si>
    <t>Ultra membranfiltrering (UF) - Nominell poreåpning &lt; 40 nm</t>
  </si>
  <si>
    <t>Nano membranfiltrering (NF) - Nominell poreåpning &lt; 5 nm</t>
  </si>
  <si>
    <t>Koagulering - direktefiltrering (mediafilter) - Maks. utgående turbiditet &lt; 0,2 NTU</t>
  </si>
  <si>
    <t>Koagulering - direktefiltrering (mediafilter) - Maks. utgående turbiditet &lt; 0,1 NTU</t>
  </si>
  <si>
    <t>Koagulering + sedimentering (evt. flotasjon) + filtrering - Maks. turbiditet &lt; 0,2 NTU</t>
  </si>
  <si>
    <t>Koagulering + sedimentering (evt. flotasjon) + filtrering - Maks. turbiditet &lt; 0,1 NTU</t>
  </si>
  <si>
    <t>Koagulering - mikro membranfiltrering (MF) - Maks. turbiditet &lt; 0,1 NTU</t>
  </si>
  <si>
    <t>Koagulering - ultra membranfiltrering (UF) - Maks. turbiditet &lt; 0,1 NTU</t>
  </si>
  <si>
    <r>
      <t xml:space="preserve">Dersom on-line overvåking av behandlet vann mht turbiditet, farge eller annen parameter som er egnet til å overvåke om det aktuelle tiltaket fungerer etter hensikten (NB! Det velges </t>
    </r>
    <r>
      <rPr>
        <u/>
        <sz val="11"/>
        <rFont val="Arial"/>
        <family val="2"/>
      </rPr>
      <t>bare ett</t>
    </r>
    <r>
      <rPr>
        <sz val="11"/>
        <rFont val="Arial"/>
        <family val="2"/>
      </rPr>
      <t xml:space="preserve"> alternativ i listen under):</t>
    </r>
  </si>
  <si>
    <r>
      <t xml:space="preserve">c) Er til stede og aktiverer en alarm når satt grenseverdi overskrides, som leder til </t>
    </r>
    <r>
      <rPr>
        <u/>
        <sz val="11"/>
        <rFont val="Arial"/>
        <family val="2"/>
      </rPr>
      <t>manuell avstengning</t>
    </r>
    <r>
      <rPr>
        <sz val="11"/>
        <rFont val="Arial"/>
        <family val="2"/>
      </rPr>
      <t xml:space="preserve"> av råvannstilførsel inntil årsaken til den unormale målingen er funnet og normal drift er gjenopprettet </t>
    </r>
  </si>
  <si>
    <r>
      <t xml:space="preserve">d) Er til stede og aktiverer en alarm når satt grenseverdi overskrides, noe som leder til </t>
    </r>
    <r>
      <rPr>
        <u/>
        <sz val="11"/>
        <rFont val="Arial"/>
        <family val="2"/>
      </rPr>
      <t>automatisk avstengning</t>
    </r>
    <r>
      <rPr>
        <sz val="11"/>
        <rFont val="Arial"/>
        <family val="2"/>
      </rPr>
      <t xml:space="preserve"> av råvannstilførsel inntil årsaken til den unormale målingen er funnet og normale drift er gjenopprettet </t>
    </r>
  </si>
  <si>
    <r>
      <t xml:space="preserve">Dersom overvåkning av strømtilførsel (NB! Det velges </t>
    </r>
    <r>
      <rPr>
        <u/>
        <sz val="11"/>
        <rFont val="Arial"/>
        <family val="2"/>
      </rPr>
      <t>bare ett</t>
    </r>
    <r>
      <rPr>
        <sz val="11"/>
        <rFont val="Arial"/>
        <family val="2"/>
      </rPr>
      <t xml:space="preserve"> alternativ i listen under):</t>
    </r>
  </si>
  <si>
    <r>
      <t xml:space="preserve">b) Er til stede og aktiverer en alarm ved bortfall av strøm, som leder til </t>
    </r>
    <r>
      <rPr>
        <u/>
        <sz val="11"/>
        <rFont val="Arial"/>
        <family val="2"/>
      </rPr>
      <t>manuell avstengning</t>
    </r>
    <r>
      <rPr>
        <sz val="11"/>
        <rFont val="Arial"/>
        <family val="2"/>
      </rPr>
      <t xml:space="preserve"> av råvannstilførsel inntil normal strømforsyning er gjenopprettet </t>
    </r>
  </si>
  <si>
    <r>
      <t xml:space="preserve">c) Er til stede og aktiverer en alarm ved bortfall av strøm, som leder til </t>
    </r>
    <r>
      <rPr>
        <u/>
        <sz val="11"/>
        <rFont val="Arial"/>
        <family val="2"/>
      </rPr>
      <t>automatisk avstengning</t>
    </r>
    <r>
      <rPr>
        <sz val="11"/>
        <rFont val="Arial"/>
        <family val="2"/>
      </rPr>
      <t xml:space="preserve"> av råvannstilførsel inntil normal strømforsyning er gjenopprettet </t>
    </r>
  </si>
  <si>
    <r>
      <t xml:space="preserve">d) Er til stede og aktiverer </t>
    </r>
    <r>
      <rPr>
        <u/>
        <sz val="11"/>
        <rFont val="Arial"/>
        <family val="2"/>
      </rPr>
      <t>manuell igangsetting</t>
    </r>
    <r>
      <rPr>
        <sz val="11"/>
        <rFont val="Arial"/>
        <family val="2"/>
      </rPr>
      <t xml:space="preserve"> av reserve aggregat ved bortfall av strøm</t>
    </r>
  </si>
  <si>
    <r>
      <t xml:space="preserve">e) Er til stede og aktiverer </t>
    </r>
    <r>
      <rPr>
        <u/>
        <sz val="11"/>
        <rFont val="Arial"/>
        <family val="2"/>
      </rPr>
      <t>automatisk igangsetting</t>
    </r>
    <r>
      <rPr>
        <sz val="11"/>
        <rFont val="Arial"/>
        <family val="2"/>
      </rPr>
      <t xml:space="preserve"> av reserve aggregat eller UPS ved bortfall av strøm </t>
    </r>
  </si>
  <si>
    <t>D = A ÷ B ÷ C</t>
  </si>
  <si>
    <t>Vannverkets barrierestatus</t>
  </si>
  <si>
    <t>Hentet fra ark innsjø</t>
  </si>
  <si>
    <t>Log-kreditt for vannbehandlingstiltak utover sluttdesinfeksjon</t>
  </si>
  <si>
    <t>Virus inkl. Adenovirus</t>
  </si>
  <si>
    <t>Virus ekskl. 
Adenovirus</t>
  </si>
  <si>
    <t>Virus inkl.
Adenovirus</t>
  </si>
  <si>
    <t>Maksimal inaktiveringsgrad for typegodkjente       UV-anlegg:</t>
  </si>
  <si>
    <t xml:space="preserve">Tiltak for å redusere risikoen for bortfall av eller redusert effekt på UV-anlegget: </t>
  </si>
  <si>
    <t>Log-kreditt for UV-desinfeksjon</t>
  </si>
  <si>
    <t>Spesielle tilfeller (tabell 3.9):</t>
  </si>
  <si>
    <t>Prosentuelt fratrekk i inaktiveringsgrad for UV-desinfeksjon på grunn av sikkerhetsbrister (i % av maksimal log-reduksjon) samt kreditt (i % av maksimal inaktiveringsgrad) for faktiske, gjennomførte tiltak innen hver kategori (tabell 3.10):</t>
  </si>
  <si>
    <t>Redusert inaktiviseringsgrad pga. manglende tiltak</t>
  </si>
  <si>
    <r>
      <rPr>
        <b/>
        <sz val="12"/>
        <rFont val="Arial"/>
        <family val="2"/>
      </rPr>
      <t>D</t>
    </r>
    <r>
      <rPr>
        <b/>
        <sz val="11"/>
        <rFont val="Arial"/>
        <family val="2"/>
      </rPr>
      <t xml:space="preserve">ersom UV-transmisjonen i innkommende vann er lavere enn det UV-anlegget er dimensjonert for, skal log-reduksjonen reduseres (figur 3.7): </t>
    </r>
  </si>
  <si>
    <t xml:space="preserve">Fratrekket i log-kreditt kan unngås dersom systemet forutsettes å drives slik at vannmengden som tilføres UV-aggregatet reduseres så mye at den økte UV-dosen medfører en opprettholdt log-reduksjon når de transmisjonsforbedrende behandlingstiltak oppstrøms er ute av drift.
Dersom vannproduksjonen stenges automatisk når driftsforholdene i UV-anlegget blir slik at man faller utenfor driftsområdet anlegget er sertifisert for, skal det ikke gjøres fratrekk i log-kreditt. 
</t>
  </si>
  <si>
    <t>Velg kategori for maksimal inaktiveringsgrad  for UV-desinfeksjon på nedtrekksmeny under (ved å plassere pilen i cellen under får man frem hjelpemenyen):</t>
  </si>
  <si>
    <r>
      <t>Angi normal klordosering (C</t>
    </r>
    <r>
      <rPr>
        <vertAlign val="subscript"/>
        <sz val="12"/>
        <rFont val="Arial"/>
        <family val="2"/>
      </rPr>
      <t>dose</t>
    </r>
    <r>
      <rPr>
        <sz val="12"/>
        <rFont val="Arial"/>
        <family val="2"/>
      </rPr>
      <t>)</t>
    </r>
  </si>
  <si>
    <t>Angi TOC i vannet som kloreres - Høyeste verdi</t>
  </si>
  <si>
    <t>Kryss av
(kun ett valg)</t>
  </si>
  <si>
    <r>
      <t>Angi evt. målt klornivå på innløp til klorkontaktbasseng (C</t>
    </r>
    <r>
      <rPr>
        <vertAlign val="subscript"/>
        <sz val="12"/>
        <rFont val="Arial"/>
        <family val="2"/>
      </rPr>
      <t>inn</t>
    </r>
    <r>
      <rPr>
        <sz val="12"/>
        <rFont val="Arial"/>
        <family val="2"/>
      </rPr>
      <t xml:space="preserve">) </t>
    </r>
  </si>
  <si>
    <r>
      <t>Angi evt. målt restklornivå etter klorkontaktbasseng (C</t>
    </r>
    <r>
      <rPr>
        <vertAlign val="subscript"/>
        <sz val="12"/>
        <rFont val="Arial"/>
        <family val="2"/>
      </rPr>
      <t>ut</t>
    </r>
    <r>
      <rPr>
        <sz val="12"/>
        <rFont val="Arial"/>
        <family val="2"/>
      </rPr>
      <t xml:space="preserve">) </t>
    </r>
  </si>
  <si>
    <r>
      <t xml:space="preserve">IF </t>
    </r>
    <r>
      <rPr>
        <sz val="10"/>
        <rFont val="Arial"/>
        <family val="2"/>
      </rPr>
      <t>(initialforbruket)</t>
    </r>
  </si>
  <si>
    <t>Max log-kreditt</t>
  </si>
  <si>
    <t>Log-kreditt for klordesinfeksjon før evt. fratrekk</t>
  </si>
  <si>
    <t>Benyttet log-kreditt før fratrekk</t>
  </si>
  <si>
    <t>Tiltak ved kortvarig bortfall av klortilsats</t>
  </si>
  <si>
    <t xml:space="preserve">Tiltak for å redusere risikoen for doseringsbortfall </t>
  </si>
  <si>
    <t>Utjevningsvolum (etter desinfeksjonsanlegget)  som kan tilfredsstille vannbehovet når vannproduksjonen stoppes ved doseringsbortfall</t>
  </si>
  <si>
    <t>Reduksjon   i fratrekk</t>
  </si>
  <si>
    <t>Nødstrømsaggregat eller UPS installert</t>
  </si>
  <si>
    <t>Log-kreditt før fratrekk:</t>
  </si>
  <si>
    <t>Reduksjon i log-kreditt pga. manglende tiltak (A + B + C):</t>
  </si>
  <si>
    <t>Inaktiveringsgrad med klordosering</t>
  </si>
  <si>
    <t>Log-kreditt for KLOR-desinfeksjon</t>
  </si>
  <si>
    <t>Velg forutsetninger for desinfeksjon fra nedrekksmenyen under (ved å plassere pilen i cellen under får man fram hjelpemenyen):</t>
  </si>
  <si>
    <t>Velg forutsetninger for desinfeksjon fra nedtrekksmenyen under (ved å plassere pilen i cellen under får man fram hjelpemenyen):</t>
  </si>
  <si>
    <t>Har ikke desinfeksjon med klor</t>
  </si>
  <si>
    <t>Har ikke desinfeksjon med klordioksid</t>
  </si>
  <si>
    <r>
      <t>Angi målt restklornivå etter klorkontaktbasseng (C</t>
    </r>
    <r>
      <rPr>
        <vertAlign val="subscript"/>
        <sz val="12"/>
        <rFont val="Arial"/>
        <family val="2"/>
      </rPr>
      <t>ut</t>
    </r>
    <r>
      <rPr>
        <sz val="12"/>
        <rFont val="Arial"/>
        <family val="2"/>
      </rPr>
      <t xml:space="preserve">) </t>
    </r>
  </si>
  <si>
    <r>
      <t>Angi målt klornivå på innløp til klorkontaktbasseng (C</t>
    </r>
    <r>
      <rPr>
        <vertAlign val="subscript"/>
        <sz val="12"/>
        <rFont val="Arial"/>
        <family val="2"/>
      </rPr>
      <t>inn</t>
    </r>
    <r>
      <rPr>
        <sz val="12"/>
        <rFont val="Arial"/>
        <family val="2"/>
      </rPr>
      <t xml:space="preserve">) </t>
    </r>
  </si>
  <si>
    <r>
      <t>Seriefaktor F</t>
    </r>
    <r>
      <rPr>
        <b/>
        <vertAlign val="subscript"/>
        <sz val="11"/>
        <rFont val="Arial"/>
        <family val="2"/>
      </rPr>
      <t>s</t>
    </r>
  </si>
  <si>
    <t>Kamre i serie (kun ett valg)</t>
  </si>
  <si>
    <t>Kryss av       (kun ett valg)</t>
  </si>
  <si>
    <r>
      <t>Serie faktor F</t>
    </r>
    <r>
      <rPr>
        <b/>
        <vertAlign val="subscript"/>
        <sz val="11"/>
        <rFont val="Arial"/>
        <family val="2"/>
      </rPr>
      <t>s</t>
    </r>
  </si>
  <si>
    <r>
      <rPr>
        <b/>
        <sz val="16"/>
        <rFont val="Arial"/>
        <family val="2"/>
      </rPr>
      <t xml:space="preserve">Log-kreditt for KLORDIOKSID-desinfeksjon </t>
    </r>
    <r>
      <rPr>
        <b/>
        <i/>
        <sz val="16"/>
        <rFont val="Arial"/>
        <family val="2"/>
      </rPr>
      <t xml:space="preserve">    </t>
    </r>
  </si>
  <si>
    <t>Velg metode for beregning av Ct-verdi på nedtrekksmenyen under       (ved å plassere pilen i den grå cellen får man frem hjelpemeny):</t>
  </si>
  <si>
    <t xml:space="preserve">Regnearket er utarbeidet av:                                                                                                   </t>
  </si>
  <si>
    <t>Inaktiveringsgrad med klordioksid-dosering</t>
  </si>
  <si>
    <t>Tilfredsstillende rutiner for rengjøring, kontroll og kalibrering av klorrestmåler</t>
  </si>
  <si>
    <r>
      <t>IF</t>
    </r>
    <r>
      <rPr>
        <vertAlign val="subscript"/>
        <sz val="12"/>
        <rFont val="Arial"/>
        <family val="2"/>
      </rPr>
      <t>klordioksid justert</t>
    </r>
    <r>
      <rPr>
        <sz val="12"/>
        <rFont val="Arial"/>
        <family val="2"/>
      </rPr>
      <t xml:space="preserve"> = (C</t>
    </r>
    <r>
      <rPr>
        <vertAlign val="subscript"/>
        <sz val="12"/>
        <rFont val="Arial"/>
        <family val="2"/>
      </rPr>
      <t>dose klordioksid</t>
    </r>
    <r>
      <rPr>
        <sz val="12"/>
        <rFont val="Arial"/>
        <family val="2"/>
      </rPr>
      <t xml:space="preserve"> / (C</t>
    </r>
    <r>
      <rPr>
        <vertAlign val="subscript"/>
        <sz val="12"/>
        <rFont val="Arial"/>
        <family val="2"/>
      </rPr>
      <t>dose klordioksid</t>
    </r>
    <r>
      <rPr>
        <sz val="12"/>
        <rFont val="Arial"/>
        <family val="2"/>
      </rPr>
      <t xml:space="preserve"> + C</t>
    </r>
    <r>
      <rPr>
        <vertAlign val="subscript"/>
        <sz val="12"/>
        <rFont val="Arial"/>
        <family val="2"/>
      </rPr>
      <t>dose klor</t>
    </r>
    <r>
      <rPr>
        <sz val="12"/>
        <rFont val="Arial"/>
        <family val="2"/>
      </rPr>
      <t>)) x IF</t>
    </r>
    <r>
      <rPr>
        <vertAlign val="subscript"/>
        <sz val="12"/>
        <rFont val="Arial"/>
        <family val="2"/>
      </rPr>
      <t>klordioksid</t>
    </r>
  </si>
  <si>
    <r>
      <t>IF</t>
    </r>
    <r>
      <rPr>
        <vertAlign val="subscript"/>
        <sz val="12"/>
        <rFont val="Arial"/>
        <family val="2"/>
      </rPr>
      <t>klor justert</t>
    </r>
    <r>
      <rPr>
        <sz val="12"/>
        <rFont val="Arial"/>
        <family val="2"/>
      </rPr>
      <t xml:space="preserve"> = (C</t>
    </r>
    <r>
      <rPr>
        <vertAlign val="subscript"/>
        <sz val="12"/>
        <rFont val="Arial"/>
        <family val="2"/>
      </rPr>
      <t>dose klor</t>
    </r>
    <r>
      <rPr>
        <sz val="12"/>
        <rFont val="Arial"/>
        <family val="2"/>
      </rPr>
      <t xml:space="preserve"> / (C</t>
    </r>
    <r>
      <rPr>
        <vertAlign val="subscript"/>
        <sz val="12"/>
        <rFont val="Arial"/>
        <family val="2"/>
      </rPr>
      <t>dose klordioksid</t>
    </r>
    <r>
      <rPr>
        <sz val="12"/>
        <rFont val="Arial"/>
        <family val="2"/>
      </rPr>
      <t xml:space="preserve"> + C</t>
    </r>
    <r>
      <rPr>
        <vertAlign val="subscript"/>
        <sz val="12"/>
        <rFont val="Arial"/>
        <family val="2"/>
      </rPr>
      <t>dose klor</t>
    </r>
    <r>
      <rPr>
        <sz val="12"/>
        <rFont val="Arial"/>
        <family val="2"/>
      </rPr>
      <t>)) x IF</t>
    </r>
    <r>
      <rPr>
        <vertAlign val="subscript"/>
        <sz val="12"/>
        <rFont val="Arial"/>
        <family val="2"/>
      </rPr>
      <t>klor</t>
    </r>
  </si>
  <si>
    <r>
      <t xml:space="preserve">* Hvis det benyttes </t>
    </r>
    <r>
      <rPr>
        <b/>
        <sz val="11"/>
        <rFont val="Arial"/>
        <family val="2"/>
      </rPr>
      <t>både klor og klordioksid</t>
    </r>
    <r>
      <rPr>
        <sz val="11"/>
        <rFont val="Arial"/>
        <family val="2"/>
      </rPr>
      <t xml:space="preserve"> til desinfeksjon, må beregnet initialforbruk IF for klor justeres slik:</t>
    </r>
  </si>
  <si>
    <r>
      <t xml:space="preserve">IF </t>
    </r>
    <r>
      <rPr>
        <sz val="10"/>
        <rFont val="Arial"/>
        <family val="2"/>
      </rPr>
      <t>(initialforbruket)</t>
    </r>
    <r>
      <rPr>
        <sz val="12"/>
        <rFont val="Arial"/>
        <family val="2"/>
      </rPr>
      <t xml:space="preserve"> *</t>
    </r>
  </si>
  <si>
    <r>
      <t>* Hvis det benyttes</t>
    </r>
    <r>
      <rPr>
        <b/>
        <sz val="11"/>
        <rFont val="Arial"/>
        <family val="2"/>
      </rPr>
      <t xml:space="preserve"> både klor og klordioksid </t>
    </r>
    <r>
      <rPr>
        <sz val="11"/>
        <rFont val="Arial"/>
        <family val="2"/>
      </rPr>
      <t>til desinfeksjon, må beregnet initialforbruk IF for klordioksid justeres slik:</t>
    </r>
  </si>
  <si>
    <r>
      <t>Angi normal klordioksid-dosering (C</t>
    </r>
    <r>
      <rPr>
        <vertAlign val="subscript"/>
        <sz val="12"/>
        <rFont val="Arial"/>
        <family val="2"/>
      </rPr>
      <t>dose</t>
    </r>
    <r>
      <rPr>
        <sz val="12"/>
        <rFont val="Arial"/>
        <family val="2"/>
      </rPr>
      <t>)</t>
    </r>
  </si>
  <si>
    <r>
      <rPr>
        <b/>
        <sz val="16"/>
        <rFont val="Arial"/>
        <family val="2"/>
      </rPr>
      <t xml:space="preserve">Log-kreditt for OZON-desinfeksjon </t>
    </r>
    <r>
      <rPr>
        <b/>
        <i/>
        <sz val="16"/>
        <rFont val="Arial"/>
        <family val="2"/>
      </rPr>
      <t xml:space="preserve">    </t>
    </r>
  </si>
  <si>
    <t>Har ikke desinfeksjon med ozon</t>
  </si>
  <si>
    <t>Angi TOC i vannet som ozoneres - Høyeste verdi</t>
  </si>
  <si>
    <r>
      <t>Angi ozondose (C</t>
    </r>
    <r>
      <rPr>
        <vertAlign val="subscript"/>
        <sz val="12"/>
        <rFont val="Arial"/>
        <family val="2"/>
      </rPr>
      <t>dose</t>
    </r>
    <r>
      <rPr>
        <sz val="12"/>
        <rFont val="Arial"/>
        <family val="2"/>
      </rPr>
      <t>)</t>
    </r>
  </si>
  <si>
    <r>
      <t>k</t>
    </r>
    <r>
      <rPr>
        <b/>
        <vertAlign val="subscript"/>
        <sz val="11"/>
        <rFont val="Times New Roman"/>
        <family val="1"/>
      </rPr>
      <t>overf</t>
    </r>
  </si>
  <si>
    <t>Ozon</t>
  </si>
  <si>
    <r>
      <t>Giardia</t>
    </r>
    <r>
      <rPr>
        <b/>
        <sz val="10"/>
        <rFont val="Arial"/>
        <family val="2"/>
      </rPr>
      <t xml:space="preserve"> </t>
    </r>
  </si>
  <si>
    <r>
      <t>Cryptosporidium</t>
    </r>
    <r>
      <rPr>
        <b/>
        <sz val="10"/>
        <rFont val="Arial"/>
        <family val="2"/>
      </rPr>
      <t xml:space="preserve"> </t>
    </r>
  </si>
  <si>
    <r>
      <t>4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</t>
    </r>
  </si>
  <si>
    <r>
      <t>0,5</t>
    </r>
    <r>
      <rPr>
        <vertAlign val="superscript"/>
        <sz val="10"/>
        <rFont val="Arial"/>
        <family val="2"/>
      </rPr>
      <t xml:space="preserve"> o</t>
    </r>
    <r>
      <rPr>
        <sz val="10"/>
        <rFont val="Arial"/>
        <family val="2"/>
      </rPr>
      <t>C</t>
    </r>
  </si>
  <si>
    <r>
      <t>0,5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</t>
    </r>
  </si>
  <si>
    <r>
      <t>Angi målt ozonrest etter ozonreaksjonskammer (C</t>
    </r>
    <r>
      <rPr>
        <vertAlign val="subscript"/>
        <sz val="12"/>
        <rFont val="Arial"/>
        <family val="2"/>
      </rPr>
      <t>ut</t>
    </r>
    <r>
      <rPr>
        <sz val="12"/>
        <rFont val="Arial"/>
        <family val="2"/>
      </rPr>
      <t xml:space="preserve">) </t>
    </r>
  </si>
  <si>
    <t xml:space="preserve">Effektiv oppholdstid i ozonreaksjonskammer                                                                     (beregnet ut fra tabell 3.2 og teoretisk oppholdstid) </t>
  </si>
  <si>
    <t>Angi teoretisk oppholdstid i klorkontaktbasseng (T = Q/V)</t>
  </si>
  <si>
    <t>Skjermet innløp og utløp, ledevegger i bassenget. Svært høyt lengde/bredde-forhold</t>
  </si>
  <si>
    <t>Skjermet innløp og utløp, ledevegger i bassenget. Høyt lengde/bredde-forhold</t>
  </si>
  <si>
    <t>Ingen skjermer, full omblanding, høy inn- og utløpshastighet, lavt lengde/bredde-forhold</t>
  </si>
  <si>
    <t>Angi pH i vannet som ozoneres - Normal verdi</t>
  </si>
  <si>
    <r>
      <t>Angi ozonoverføringsgrad ved innblanding (k</t>
    </r>
    <r>
      <rPr>
        <vertAlign val="subscript"/>
        <sz val="12"/>
        <rFont val="Arial"/>
        <family val="2"/>
      </rPr>
      <t>overf</t>
    </r>
    <r>
      <rPr>
        <sz val="12"/>
        <rFont val="Arial"/>
        <family val="2"/>
      </rPr>
      <t>) - Se tabellen under *</t>
    </r>
  </si>
  <si>
    <t>Angi teoretisk oppholdstid i ozonreaksjonskammer inkl. kontaktkolonne (T = Q/V)</t>
  </si>
  <si>
    <t>Veiledende verdier for hydraulisk faktor for ozonreaksjonskammer/-kolonner (tabell 3.2 og 3.3). Nedtrekksmeny og valg JA for grad av stempelstrømning og kammerløsning:</t>
  </si>
  <si>
    <t>Høy slank kolonne - Åpen med bobler</t>
  </si>
  <si>
    <t>Høy slank kolonne - Åpen uten bobler</t>
  </si>
  <si>
    <t>Høy slank kolonne - Pakket med bobler</t>
  </si>
  <si>
    <t>Høy slank kolonne - Pakket uten bobler</t>
  </si>
  <si>
    <r>
      <t>mg 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/l</t>
    </r>
  </si>
  <si>
    <r>
      <t>* Veiledende verdier for ozonoverføringsgraden til vann, k</t>
    </r>
    <r>
      <rPr>
        <vertAlign val="subscript"/>
        <sz val="11"/>
        <rFont val="Arial"/>
        <family val="2"/>
      </rPr>
      <t>overf</t>
    </r>
    <r>
      <rPr>
        <sz val="11"/>
        <rFont val="Arial"/>
        <family val="2"/>
      </rPr>
      <t xml:space="preserve"> (tabell 3.5):</t>
    </r>
  </si>
  <si>
    <r>
      <rPr>
        <b/>
        <sz val="11"/>
        <rFont val="Arial"/>
        <family val="2"/>
      </rPr>
      <t>Merk:</t>
    </r>
    <r>
      <rPr>
        <sz val="11"/>
        <rFont val="Arial"/>
        <family val="2"/>
      </rPr>
      <t xml:space="preserve"> Det gjøres her ikke separat beregning for Ct-verdi for kontaktvolum og reaksjonsvolum. </t>
    </r>
  </si>
  <si>
    <t>Inaktiveringsgrad med ozondosering</t>
  </si>
  <si>
    <t>Log-kreditt for ozon-desinfeksjon inkl. evt. fratrekk. Overføres til oppsummering.</t>
  </si>
  <si>
    <t>Log-kreditt for klordioksid-desinfeksjon inkl. evt. fratrekk. Overføres til oppsummering.</t>
  </si>
  <si>
    <t>Log-kreditt for klordesinfeksjon inkl. evt. fratrekk. Overføres til oppsummering.</t>
  </si>
  <si>
    <t>Utjevningsvolum (etter desinfeksjonsanlegget) som kan tilfredsstille vannbehovet når vannproduksjonen stoppes ved doseringsbortfall</t>
  </si>
  <si>
    <t>Tilfredsstillende klorrestmåler installert</t>
  </si>
  <si>
    <t>Tilfredsstillende online ozonrestmåler installert</t>
  </si>
  <si>
    <t>Tilfredsstillende rutiner for rengjøring, kontroll og kalibrering av online ozonrestmåler</t>
  </si>
  <si>
    <t>Log-kreditt for UV-desinfeksjon inkl. fratrekk. Overføres til oppsummering.</t>
  </si>
  <si>
    <t>Mikrobiologisk barriere analyse - MBA</t>
  </si>
  <si>
    <t>Typen av vannkilde (får betydning ved bestemmelse av nødvendig log-reduksjon)</t>
  </si>
  <si>
    <t>Barrierehøyde defineres som den reduksjon (angitt som nødvendig log-reduksjon) av de enkelte patogengrupper (bakterier, virus og parasitter) som totalt sett må oppnås i vannverket.</t>
  </si>
  <si>
    <r>
      <t xml:space="preserve">Ved subtraksjon bestemmes deretter den </t>
    </r>
    <r>
      <rPr>
        <b/>
        <sz val="12"/>
        <rFont val="Arial"/>
        <family val="2"/>
      </rPr>
      <t xml:space="preserve">inaktiveringsgrad </t>
    </r>
    <r>
      <rPr>
        <sz val="12"/>
        <rFont val="Arial"/>
        <family val="2"/>
      </rPr>
      <t xml:space="preserve">(angitt som log-reduksjon) av de enkelte patogengrupper som sluttdesinfeksjon og eventuelt ny utvidet vannbehandling må sørge for.              </t>
    </r>
  </si>
  <si>
    <t xml:space="preserve">Summert log-kreditt for NYE tiltak i vannkilde og nedslagsfelt. (Maksimale verdier er 2,0b + 2,0v + 1,25p.) </t>
  </si>
  <si>
    <t xml:space="preserve">Summert log-kreditt for NYE barrieretiltak knyttet til grunnvannsbrønner. (Maksimale verdier er 2,0b + 2,0v + 1,25p.) </t>
  </si>
  <si>
    <r>
      <t>pH &lt; 7 og temperatur 4</t>
    </r>
    <r>
      <rPr>
        <sz val="11"/>
        <rFont val="Arial"/>
        <family val="2"/>
      </rPr>
      <t>º</t>
    </r>
    <r>
      <rPr>
        <sz val="11"/>
        <rFont val="Times New Roman"/>
        <family val="1"/>
      </rPr>
      <t>C</t>
    </r>
  </si>
  <si>
    <t>pH &lt; 7 og temperatur 4ºC</t>
  </si>
  <si>
    <t>pH 7 - 8 og temperatur 4ºC</t>
  </si>
  <si>
    <t>pH &gt; 8 og temperatur 4ºC</t>
  </si>
  <si>
    <t>pH &lt; 7 og temperatur 0,5ºC</t>
  </si>
  <si>
    <t>pH 7 - 8 og temperatur 0,5ºC</t>
  </si>
  <si>
    <t>pH &gt; 8 og temperatur 0,5ºC</t>
  </si>
  <si>
    <t>Klordioksid og temperatur 4ºC</t>
  </si>
  <si>
    <t>Klordioksid  og temperatur 0,5ºC</t>
  </si>
  <si>
    <t>Ozon og temperatur 4ºC</t>
  </si>
  <si>
    <t>Ozon og temperatur 0,5ºC</t>
  </si>
  <si>
    <t>Hentet fra ark vannbehandling utover sluttdesinfeksjon (prosess 1)</t>
  </si>
  <si>
    <t>Hentet fra ark vannbehandling utover sluttdesinfeksjon (prosess 2)</t>
  </si>
  <si>
    <t xml:space="preserve">Figur 3.7 Prosentvis reduksjon av log-kreditt for UV pga. lav UV-transmisjon i råvannet / vann etter svikt i foregående behandlingstrinn. </t>
  </si>
  <si>
    <t>Basert på Norsk Vann rapport 209/2014 - Veiledning i mikrobiell barriere analyse (Ødegaard, et al.)</t>
  </si>
  <si>
    <t xml:space="preserve">Bestemmelse av log-kreditt i vannbehandlingsanlegg med god partikkelseparering.                                               </t>
  </si>
  <si>
    <t xml:space="preserve">Bestemmelse av log-kreditt i vannbehandlingsanlegg med god partikkelseparering.                                             </t>
  </si>
  <si>
    <t>UV-bestråling</t>
  </si>
  <si>
    <t>- Automatisk avstenging av råvannstilførsel</t>
  </si>
  <si>
    <t>- Manuell avstenging av råvannstilførsel</t>
  </si>
  <si>
    <t>- Manuelt avstenging av råvannstilførsel</t>
  </si>
  <si>
    <t>Log-kreditt for tiltak for overvåkning av råvannskvalitet               (tabell 2.7)</t>
  </si>
  <si>
    <t>ved beregninger (Cdose, TOC)</t>
  </si>
  <si>
    <t>Registrering</t>
  </si>
  <si>
    <t>Skriv inn vannverkseiers og vannverkets navn:</t>
  </si>
  <si>
    <t xml:space="preserve">Celler hvor det kan/skal legges inn verdier, er markert med grått. </t>
  </si>
  <si>
    <t>Modellen bygger i stor grad på JA/NEI spørsmål. Det er lagt inn predefinerte valg i modellen som kommer fram med piler når curseren er plassert i celle.</t>
  </si>
  <si>
    <t xml:space="preserve">Bestem nødvendig barrierehøyde for vannverket ut fra kildekategori (vannkvalitetsnivå) og vannverksstørrelse. Se figur og tabell nedenfor. </t>
  </si>
  <si>
    <t>Nødvendig barrierehøyde skrives inn i feltene under - Overføres til oppsummering:</t>
  </si>
  <si>
    <t>30 - 60 døgn</t>
  </si>
  <si>
    <t>15 - 30 døgn</t>
  </si>
  <si>
    <t>3 - 15 døgn</t>
  </si>
  <si>
    <t>Hentet fra ark infiltrasjon</t>
  </si>
  <si>
    <t xml:space="preserve">Log-kreditt for barrieretiltak knyttet til grunnvannsbrønner </t>
  </si>
  <si>
    <t>Log-kreditt for vannkvalitetsforbedring gjennom infiltrasjon av overflatevann (tabell 2.6)</t>
  </si>
  <si>
    <t xml:space="preserve">Kunstig infiltrasjon av overflatevann forbedrer den hygieniske vannkvaliteten avhengig av vannets oppholdstid i grunnen. Man tar da utgangspunkt i råvannskvalitet til overflatevannet og gir log-kreditt for infiltrasjon. Dette kan også benyttes ved naturlig infiltrasjon av overflatevann i grunnen. Det forutsettes at oppholdstiden i mettet og umettet sone kan sannsynliggjøres ved hydrogeologiske undersøkelser. </t>
  </si>
  <si>
    <t xml:space="preserve">Log-kreditt for infiltrasjon av overflatevann. Overføres til oppsummering. </t>
  </si>
  <si>
    <t xml:space="preserve">Log-kreditt for kunstig (eller naturlig) infiltrasjon av overflatevann, basert på det infiltrerte vannets oppholdstid i mettet og umettet sone. Velg kun ett alternativ fra JA/NEI-lista. </t>
  </si>
  <si>
    <t xml:space="preserve">Vannbehandling prosess 1 </t>
  </si>
  <si>
    <t>Vannbehandling prosess 2</t>
  </si>
  <si>
    <t>Vannverkets barrierestatus. Oppsummering basert på utfyllingene i foregående ark (automatisk overført).</t>
  </si>
  <si>
    <t>Infiltrasjon av overflatevann</t>
  </si>
  <si>
    <t>OPPSUMMERING</t>
  </si>
  <si>
    <t>BB</t>
  </si>
  <si>
    <t>VV</t>
  </si>
  <si>
    <t>&gt; 60 døgn</t>
  </si>
  <si>
    <r>
      <t xml:space="preserve">Denne siden kan benyttes dersom vannbehandlingsanlegget har </t>
    </r>
    <r>
      <rPr>
        <u/>
        <sz val="12"/>
        <rFont val="Arial"/>
        <family val="2"/>
      </rPr>
      <t>flere</t>
    </r>
    <r>
      <rPr>
        <sz val="12"/>
        <rFont val="Arial"/>
        <family val="2"/>
      </rPr>
      <t xml:space="preserve"> enn ett vannbehandlingstrinn for partikkelseparasjon. Dette benyttes da for behandlingstrinn 2. </t>
    </r>
  </si>
  <si>
    <r>
      <t xml:space="preserve">Asle Aasen, </t>
    </r>
    <r>
      <rPr>
        <sz val="11"/>
        <rFont val="Arial"/>
        <family val="2"/>
      </rPr>
      <t xml:space="preserve">Bergen Vann   </t>
    </r>
    <r>
      <rPr>
        <b/>
        <sz val="11"/>
        <rFont val="Arial"/>
        <family val="2"/>
      </rPr>
      <t xml:space="preserve">                      Svein Forberg Liane, </t>
    </r>
    <r>
      <rPr>
        <sz val="11"/>
        <rFont val="Arial"/>
        <family val="2"/>
      </rPr>
      <t xml:space="preserve">Norconsult  </t>
    </r>
    <r>
      <rPr>
        <b/>
        <sz val="11"/>
        <rFont val="Arial"/>
        <family val="2"/>
      </rPr>
      <t xml:space="preserve">               Jon Brandt, </t>
    </r>
    <r>
      <rPr>
        <sz val="11"/>
        <rFont val="Arial"/>
        <family val="2"/>
      </rPr>
      <t>Asplan Viak</t>
    </r>
  </si>
  <si>
    <r>
      <t>Angi målt ozonkonsentrasjon på innløp til ozonreaksjonskammer (C</t>
    </r>
    <r>
      <rPr>
        <vertAlign val="subscript"/>
        <sz val="12"/>
        <rFont val="Arial"/>
        <family val="2"/>
      </rPr>
      <t>inn</t>
    </r>
    <r>
      <rPr>
        <sz val="12"/>
        <rFont val="Arial"/>
        <family val="2"/>
      </rPr>
      <t xml:space="preserve">) </t>
    </r>
  </si>
  <si>
    <t>Velg metode for beregning av Ct-verdi på nedtrekksmenyen under (ved å plassere pilen i den grå cellen får man frem hjelpemeny):</t>
  </si>
  <si>
    <t xml:space="preserve">Prosentuelt fratrekk i Ct-beregnet (evt. maksimal) log-reduksjon på grunn av sikkerhetsbrister, samt kreditt (i % av log-reduksjon) for faktisk gjennomførte tiltak innen hver hovedkategori (tabell 3.7):  </t>
  </si>
  <si>
    <r>
      <t>25 mJ/cm</t>
    </r>
    <r>
      <rPr>
        <vertAlign val="superscript"/>
        <sz val="11"/>
        <rFont val="Times New Roman"/>
        <family val="1"/>
      </rPr>
      <t xml:space="preserve">2 </t>
    </r>
    <r>
      <rPr>
        <sz val="11"/>
        <rFont val="Times New Roman"/>
        <family val="1"/>
      </rPr>
      <t>biodosimetrisk dose uten Adenovirus</t>
    </r>
  </si>
  <si>
    <r>
      <t>25 mJ/cm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biodosimetrisk dose med Adenovirus</t>
    </r>
  </si>
  <si>
    <r>
      <t>25 mJ/cm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biodosimetrisk dose uten Adenovirus</t>
    </r>
  </si>
  <si>
    <t>% av Ct-beregnet inaktiverings -  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</si>
</sst>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9" x14ac:knownFonts="1">
    <font>
      <sz val="11"/>
      <name val="Times New Roman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1"/>
      <color indexed="81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10"/>
      <name val="Times New Roman"/>
      <family val="1"/>
    </font>
    <font>
      <sz val="11"/>
      <color indexed="14"/>
      <name val="Times New Roman"/>
      <family val="1"/>
    </font>
    <font>
      <sz val="10"/>
      <name val="Verdana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theme="10"/>
      <name val="Times New Roman"/>
      <family val="1"/>
    </font>
    <font>
      <u/>
      <sz val="11"/>
      <color theme="11"/>
      <name val="Times New Roman"/>
      <family val="1"/>
    </font>
    <font>
      <sz val="11"/>
      <color indexed="8"/>
      <name val="Times New Roman"/>
      <family val="1"/>
    </font>
    <font>
      <vertAlign val="superscript"/>
      <sz val="11"/>
      <name val="Times New Roman"/>
      <family val="1"/>
    </font>
    <font>
      <sz val="9"/>
      <name val="Verdana"/>
      <family val="2"/>
    </font>
    <font>
      <b/>
      <sz val="9"/>
      <name val="Verdana"/>
      <family val="2"/>
    </font>
    <font>
      <i/>
      <sz val="10"/>
      <name val="Verdana"/>
      <family val="2"/>
    </font>
    <font>
      <sz val="9"/>
      <name val="Arial"/>
      <family val="2"/>
    </font>
    <font>
      <i/>
      <vertAlign val="subscript"/>
      <sz val="10"/>
      <name val="Verdana"/>
      <family val="2"/>
    </font>
    <font>
      <b/>
      <vertAlign val="subscript"/>
      <sz val="9"/>
      <name val="Verdana"/>
      <family val="2"/>
    </font>
    <font>
      <b/>
      <vertAlign val="superscript"/>
      <sz val="9"/>
      <name val="Verdana"/>
      <family val="2"/>
    </font>
    <font>
      <vertAlign val="superscript"/>
      <sz val="9"/>
      <name val="Arial"/>
      <family val="2"/>
    </font>
    <font>
      <vertAlign val="subscript"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Arial"/>
      <family val="2"/>
    </font>
    <font>
      <b/>
      <vertAlign val="subscript"/>
      <sz val="11"/>
      <name val="Times New Roman"/>
      <family val="1"/>
    </font>
    <font>
      <b/>
      <vertAlign val="superscript"/>
      <sz val="11"/>
      <name val="Times New Roman"/>
      <family val="1"/>
    </font>
    <font>
      <sz val="24"/>
      <name val="Times New Roman"/>
      <family val="1"/>
    </font>
    <font>
      <i/>
      <sz val="12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11"/>
      <color indexed="8"/>
      <name val="Arial"/>
      <family val="2"/>
    </font>
    <font>
      <b/>
      <sz val="14"/>
      <color indexed="9"/>
      <name val="Arial"/>
      <family val="2"/>
    </font>
    <font>
      <vertAlign val="superscript"/>
      <sz val="11"/>
      <name val="Arial"/>
      <family val="2"/>
    </font>
    <font>
      <b/>
      <sz val="9"/>
      <color indexed="9"/>
      <name val="Arial"/>
      <family val="2"/>
    </font>
    <font>
      <vertAlign val="subscript"/>
      <sz val="11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vertAlign val="subscript"/>
      <sz val="11"/>
      <color theme="1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b/>
      <vertAlign val="subscript"/>
      <sz val="11"/>
      <name val="Arial"/>
      <family val="2"/>
    </font>
    <font>
      <b/>
      <vertAlign val="subscript"/>
      <sz val="9"/>
      <name val="Arial"/>
      <family val="2"/>
    </font>
    <font>
      <b/>
      <vertAlign val="superscript"/>
      <sz val="12"/>
      <name val="Arial"/>
      <family val="2"/>
    </font>
    <font>
      <vertAlign val="subscript"/>
      <sz val="12"/>
      <name val="Arial"/>
      <family val="2"/>
    </font>
    <font>
      <b/>
      <i/>
      <sz val="16"/>
      <name val="Arial"/>
      <family val="2"/>
    </font>
    <font>
      <b/>
      <sz val="9"/>
      <color indexed="1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vertAlign val="subscript"/>
      <sz val="12"/>
      <name val="Calibri"/>
      <family val="2"/>
      <scheme val="minor"/>
    </font>
    <font>
      <u/>
      <sz val="11"/>
      <name val="Arial"/>
      <family val="2"/>
    </font>
    <font>
      <sz val="24"/>
      <name val="Arial"/>
      <family val="2"/>
    </font>
    <font>
      <b/>
      <sz val="26"/>
      <name val="Times New Roman"/>
      <family val="1"/>
    </font>
    <font>
      <b/>
      <sz val="16"/>
      <name val="Arial"/>
      <family val="2"/>
    </font>
    <font>
      <b/>
      <sz val="36"/>
      <name val="Times New Roman"/>
      <family val="1"/>
    </font>
    <font>
      <sz val="10"/>
      <name val="Times New Roman"/>
      <family val="1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1"/>
      <color rgb="FFFF0000"/>
      <name val="Arial"/>
      <family val="2"/>
    </font>
    <font>
      <sz val="11"/>
      <color rgb="FFFF0000"/>
      <name val="Times New Roman"/>
      <family val="1"/>
    </font>
    <font>
      <sz val="11"/>
      <name val="Times New Roman"/>
    </font>
    <font>
      <b/>
      <sz val="12"/>
      <color rgb="FFFF0000"/>
      <name val="Calibri"/>
      <family val="2"/>
      <scheme val="minor"/>
    </font>
    <font>
      <b/>
      <sz val="36"/>
      <name val="Arial"/>
      <family val="2"/>
    </font>
    <font>
      <u/>
      <sz val="12"/>
      <name val="Arial"/>
      <family val="2"/>
    </font>
    <font>
      <b/>
      <sz val="11"/>
      <color rgb="FFFF0000"/>
      <name val="Times New Roman"/>
      <family val="1"/>
    </font>
    <font>
      <b/>
      <sz val="2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14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/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medium">
        <color theme="1"/>
      </top>
      <bottom/>
      <diagonal/>
    </border>
    <border>
      <left/>
      <right style="medium">
        <color auto="1"/>
      </right>
      <top style="medium">
        <color auto="1"/>
      </top>
      <bottom style="thin">
        <color theme="1"/>
      </bottom>
      <diagonal/>
    </border>
    <border>
      <left/>
      <right style="medium">
        <color auto="1"/>
      </right>
      <top/>
      <bottom style="thin">
        <color theme="1"/>
      </bottom>
      <diagonal/>
    </border>
    <border>
      <left/>
      <right style="medium">
        <color auto="1"/>
      </right>
      <top style="thin">
        <color theme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auto="1"/>
      </bottom>
      <diagonal/>
    </border>
    <border>
      <left style="medium">
        <color theme="1"/>
      </left>
      <right style="thin">
        <color indexed="64"/>
      </right>
      <top/>
      <bottom/>
      <diagonal/>
    </border>
  </borders>
  <cellStyleXfs count="33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11" borderId="0" applyNumberFormat="0" applyBorder="0" applyAlignment="0" applyProtection="0"/>
    <xf numFmtId="9" fontId="73" fillId="0" borderId="0" applyFont="0" applyFill="0" applyBorder="0" applyAlignment="0" applyProtection="0"/>
  </cellStyleXfs>
  <cellXfs count="1187">
    <xf numFmtId="0" fontId="0" fillId="0" borderId="0" xfId="0"/>
    <xf numFmtId="0" fontId="0" fillId="0" borderId="0" xfId="0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0" borderId="6" xfId="0" applyNumberFormat="1" applyBorder="1" applyAlignment="1">
      <alignment vertical="center"/>
    </xf>
    <xf numFmtId="2" fontId="0" fillId="0" borderId="7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2" fontId="0" fillId="0" borderId="1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2" fontId="0" fillId="0" borderId="6" xfId="0" applyNumberForma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8" xfId="0" applyFill="1" applyBorder="1" applyAlignment="1">
      <alignment horizontal="right" vertical="center"/>
    </xf>
    <xf numFmtId="2" fontId="0" fillId="2" borderId="7" xfId="0" applyNumberFormat="1" applyFill="1" applyBorder="1" applyAlignment="1">
      <alignment horizontal="right" vertical="center"/>
    </xf>
    <xf numFmtId="2" fontId="0" fillId="2" borderId="6" xfId="0" applyNumberFormat="1" applyFill="1" applyBorder="1" applyAlignment="1">
      <alignment horizontal="right" vertical="center"/>
    </xf>
    <xf numFmtId="2" fontId="0" fillId="2" borderId="5" xfId="0" applyNumberFormat="1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2" fontId="0" fillId="3" borderId="3" xfId="0" applyNumberFormat="1" applyFill="1" applyBorder="1" applyAlignment="1">
      <alignment horizontal="right" vertical="center"/>
    </xf>
    <xf numFmtId="2" fontId="0" fillId="3" borderId="2" xfId="0" applyNumberFormat="1" applyFill="1" applyBorder="1" applyAlignment="1">
      <alignment horizontal="right" vertical="center"/>
    </xf>
    <xf numFmtId="2" fontId="0" fillId="3" borderId="1" xfId="0" applyNumberFormat="1" applyFill="1" applyBorder="1" applyAlignment="1">
      <alignment horizontal="right" vertical="center"/>
    </xf>
    <xf numFmtId="2" fontId="5" fillId="4" borderId="7" xfId="0" applyNumberFormat="1" applyFont="1" applyFill="1" applyBorder="1" applyAlignment="1">
      <alignment horizontal="center" vertical="center"/>
    </xf>
    <xf numFmtId="2" fontId="5" fillId="4" borderId="6" xfId="0" applyNumberFormat="1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2" fontId="0" fillId="5" borderId="3" xfId="0" applyNumberFormat="1" applyFill="1" applyBorder="1" applyAlignment="1">
      <alignment vertical="center"/>
    </xf>
    <xf numFmtId="2" fontId="0" fillId="5" borderId="2" xfId="0" applyNumberFormat="1" applyFill="1" applyBorder="1" applyAlignment="1">
      <alignment vertical="center"/>
    </xf>
    <xf numFmtId="2" fontId="0" fillId="5" borderId="1" xfId="0" applyNumberFormat="1" applyFill="1" applyBorder="1" applyAlignment="1">
      <alignment vertical="center"/>
    </xf>
    <xf numFmtId="0" fontId="0" fillId="4" borderId="8" xfId="0" applyFill="1" applyBorder="1" applyAlignment="1">
      <alignment horizontal="left" vertical="center"/>
    </xf>
    <xf numFmtId="0" fontId="0" fillId="5" borderId="4" xfId="0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164" fontId="0" fillId="0" borderId="6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/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2" fontId="20" fillId="0" borderId="6" xfId="0" applyNumberFormat="1" applyFont="1" applyFill="1" applyBorder="1" applyAlignment="1">
      <alignment horizontal="center" vertical="center" wrapText="1"/>
    </xf>
    <xf numFmtId="2" fontId="20" fillId="0" borderId="5" xfId="0" applyNumberFormat="1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164" fontId="0" fillId="6" borderId="5" xfId="0" applyNumberFormat="1" applyFill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2" fontId="20" fillId="0" borderId="0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11" fillId="6" borderId="0" xfId="0" applyFont="1" applyFill="1" applyBorder="1" applyAlignment="1">
      <alignment vertical="center"/>
    </xf>
    <xf numFmtId="0" fontId="22" fillId="6" borderId="7" xfId="0" applyFont="1" applyFill="1" applyBorder="1" applyAlignment="1">
      <alignment vertical="center" wrapText="1"/>
    </xf>
    <xf numFmtId="0" fontId="22" fillId="6" borderId="3" xfId="0" applyFont="1" applyFill="1" applyBorder="1" applyAlignment="1">
      <alignment vertical="center" wrapText="1"/>
    </xf>
    <xf numFmtId="164" fontId="0" fillId="6" borderId="1" xfId="0" applyNumberFormat="1" applyFill="1" applyBorder="1" applyAlignment="1">
      <alignment horizontal="center" vertical="center"/>
    </xf>
    <xf numFmtId="0" fontId="22" fillId="6" borderId="26" xfId="0" applyFont="1" applyFill="1" applyBorder="1" applyAlignment="1">
      <alignment vertical="center" wrapText="1"/>
    </xf>
    <xf numFmtId="0" fontId="3" fillId="0" borderId="40" xfId="0" applyFont="1" applyFill="1" applyBorder="1" applyAlignment="1">
      <alignment vertical="center" wrapText="1"/>
    </xf>
    <xf numFmtId="0" fontId="0" fillId="0" borderId="39" xfId="0" applyBorder="1" applyAlignment="1">
      <alignment horizontal="center"/>
    </xf>
    <xf numFmtId="0" fontId="3" fillId="0" borderId="41" xfId="0" applyFont="1" applyFill="1" applyBorder="1" applyAlignment="1">
      <alignment vertical="center" wrapText="1"/>
    </xf>
    <xf numFmtId="0" fontId="0" fillId="0" borderId="53" xfId="0" applyBorder="1" applyAlignment="1">
      <alignment horizontal="center"/>
    </xf>
    <xf numFmtId="164" fontId="0" fillId="0" borderId="39" xfId="0" applyNumberFormat="1" applyFont="1" applyFill="1" applyBorder="1" applyAlignment="1">
      <alignment horizontal="center" vertical="center" wrapText="1"/>
    </xf>
    <xf numFmtId="164" fontId="0" fillId="0" borderId="53" xfId="0" applyNumberFormat="1" applyFont="1" applyFill="1" applyBorder="1" applyAlignment="1">
      <alignment horizontal="center" vertical="center" wrapText="1"/>
    </xf>
    <xf numFmtId="164" fontId="20" fillId="0" borderId="39" xfId="0" applyNumberFormat="1" applyFont="1" applyFill="1" applyBorder="1" applyAlignment="1">
      <alignment horizontal="center" vertical="center" wrapText="1"/>
    </xf>
    <xf numFmtId="164" fontId="20" fillId="0" borderId="5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3" fillId="6" borderId="79" xfId="0" applyFont="1" applyFill="1" applyBorder="1" applyAlignment="1">
      <alignment vertical="center" wrapText="1"/>
    </xf>
    <xf numFmtId="0" fontId="23" fillId="6" borderId="7" xfId="0" applyFont="1" applyFill="1" applyBorder="1" applyAlignment="1">
      <alignment vertical="center" wrapText="1"/>
    </xf>
    <xf numFmtId="0" fontId="23" fillId="6" borderId="3" xfId="0" applyFont="1" applyFill="1" applyBorder="1" applyAlignment="1">
      <alignment vertical="center" wrapText="1"/>
    </xf>
    <xf numFmtId="0" fontId="29" fillId="6" borderId="0" xfId="0" applyFont="1" applyFill="1" applyBorder="1" applyAlignment="1">
      <alignment horizontal="left" vertical="center"/>
    </xf>
    <xf numFmtId="0" fontId="23" fillId="6" borderId="2" xfId="0" applyFont="1" applyFill="1" applyBorder="1" applyAlignment="1">
      <alignment horizontal="center" vertical="center" wrapText="1"/>
    </xf>
    <xf numFmtId="164" fontId="22" fillId="6" borderId="6" xfId="0" applyNumberFormat="1" applyFont="1" applyFill="1" applyBorder="1" applyAlignment="1">
      <alignment horizontal="center" vertical="center" wrapText="1"/>
    </xf>
    <xf numFmtId="164" fontId="22" fillId="6" borderId="2" xfId="0" applyNumberFormat="1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64" fontId="22" fillId="6" borderId="29" xfId="0" applyNumberFormat="1" applyFont="1" applyFill="1" applyBorder="1" applyAlignment="1">
      <alignment horizontal="center" vertical="center" wrapText="1"/>
    </xf>
    <xf numFmtId="164" fontId="0" fillId="0" borderId="29" xfId="0" applyNumberFormat="1" applyBorder="1" applyAlignment="1">
      <alignment horizontal="center" vertical="center"/>
    </xf>
    <xf numFmtId="164" fontId="0" fillId="6" borderId="30" xfId="0" applyNumberFormat="1" applyFill="1" applyBorder="1" applyAlignment="1">
      <alignment horizontal="center" vertical="center"/>
    </xf>
    <xf numFmtId="0" fontId="3" fillId="0" borderId="70" xfId="0" applyFont="1" applyBorder="1" applyAlignment="1">
      <alignment horizontal="left"/>
    </xf>
    <xf numFmtId="0" fontId="0" fillId="0" borderId="83" xfId="0" applyBorder="1"/>
    <xf numFmtId="0" fontId="0" fillId="0" borderId="71" xfId="0" applyBorder="1"/>
    <xf numFmtId="0" fontId="0" fillId="0" borderId="19" xfId="0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3" fillId="0" borderId="18" xfId="0" applyFont="1" applyBorder="1"/>
    <xf numFmtId="0" fontId="2" fillId="0" borderId="1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18" xfId="0" applyBorder="1"/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18" xfId="0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0" fillId="0" borderId="19" xfId="0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24" xfId="0" applyFont="1" applyFill="1" applyBorder="1" applyAlignment="1">
      <alignment vertical="center" wrapText="1"/>
    </xf>
    <xf numFmtId="0" fontId="0" fillId="0" borderId="25" xfId="0" applyBorder="1" applyAlignment="1">
      <alignment horizontal="center"/>
    </xf>
    <xf numFmtId="0" fontId="3" fillId="0" borderId="19" xfId="0" applyFont="1" applyFill="1" applyBorder="1" applyAlignment="1">
      <alignment vertical="center" wrapText="1"/>
    </xf>
    <xf numFmtId="0" fontId="3" fillId="0" borderId="57" xfId="0" applyFont="1" applyFill="1" applyBorder="1" applyAlignment="1">
      <alignment vertical="center" wrapText="1"/>
    </xf>
    <xf numFmtId="0" fontId="3" fillId="0" borderId="54" xfId="0" applyFont="1" applyFill="1" applyBorder="1" applyAlignment="1">
      <alignment vertical="center" wrapText="1"/>
    </xf>
    <xf numFmtId="164" fontId="20" fillId="0" borderId="55" xfId="0" applyNumberFormat="1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0" fontId="23" fillId="6" borderId="50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3" fillId="6" borderId="42" xfId="0" applyFont="1" applyFill="1" applyBorder="1" applyAlignment="1">
      <alignment horizontal="center" vertical="center" wrapText="1"/>
    </xf>
    <xf numFmtId="0" fontId="23" fillId="6" borderId="42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2" fillId="0" borderId="80" xfId="0" applyFont="1" applyBorder="1" applyAlignment="1">
      <alignment horizontal="left" vertical="center"/>
    </xf>
    <xf numFmtId="0" fontId="0" fillId="6" borderId="0" xfId="0" applyFill="1" applyAlignment="1" applyProtection="1">
      <alignment vertical="center"/>
    </xf>
    <xf numFmtId="0" fontId="0" fillId="6" borderId="0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2" fontId="33" fillId="6" borderId="2" xfId="0" applyNumberFormat="1" applyFont="1" applyFill="1" applyBorder="1" applyAlignment="1" applyProtection="1">
      <alignment horizontal="center" vertical="center"/>
    </xf>
    <xf numFmtId="2" fontId="33" fillId="6" borderId="1" xfId="0" applyNumberFormat="1" applyFont="1" applyFill="1" applyBorder="1" applyAlignment="1" applyProtection="1">
      <alignment horizontal="center" vertical="center"/>
    </xf>
    <xf numFmtId="0" fontId="25" fillId="6" borderId="5" xfId="0" applyFont="1" applyFill="1" applyBorder="1" applyAlignment="1" applyProtection="1">
      <alignment horizontal="center" vertical="center"/>
    </xf>
    <xf numFmtId="2" fontId="33" fillId="0" borderId="2" xfId="0" applyNumberFormat="1" applyFont="1" applyFill="1" applyBorder="1" applyAlignment="1" applyProtection="1">
      <alignment horizontal="center" vertical="center"/>
    </xf>
    <xf numFmtId="2" fontId="33" fillId="0" borderId="1" xfId="0" applyNumberFormat="1" applyFont="1" applyFill="1" applyBorder="1" applyAlignment="1" applyProtection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3" fillId="6" borderId="28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0" fontId="17" fillId="0" borderId="61" xfId="0" applyFont="1" applyBorder="1" applyAlignment="1" applyProtection="1">
      <alignment horizontal="center" vertical="center"/>
    </xf>
    <xf numFmtId="0" fontId="17" fillId="0" borderId="62" xfId="0" applyFont="1" applyBorder="1" applyAlignment="1" applyProtection="1">
      <alignment horizontal="center" vertical="center"/>
    </xf>
    <xf numFmtId="0" fontId="17" fillId="0" borderId="63" xfId="0" applyFont="1" applyBorder="1" applyAlignment="1" applyProtection="1">
      <alignment horizontal="center" vertical="center"/>
    </xf>
    <xf numFmtId="0" fontId="17" fillId="0" borderId="70" xfId="0" applyFont="1" applyBorder="1" applyAlignment="1" applyProtection="1">
      <alignment horizontal="center" vertical="center"/>
    </xf>
    <xf numFmtId="0" fontId="16" fillId="0" borderId="69" xfId="0" applyFont="1" applyFill="1" applyBorder="1" applyAlignment="1" applyProtection="1">
      <alignment vertical="center" wrapText="1"/>
    </xf>
    <xf numFmtId="2" fontId="16" fillId="0" borderId="79" xfId="0" applyNumberFormat="1" applyFont="1" applyFill="1" applyBorder="1" applyAlignment="1" applyProtection="1">
      <alignment horizontal="center" vertical="center"/>
    </xf>
    <xf numFmtId="2" fontId="16" fillId="0" borderId="80" xfId="0" applyNumberFormat="1" applyFont="1" applyFill="1" applyBorder="1" applyAlignment="1" applyProtection="1">
      <alignment horizontal="center" vertical="center"/>
    </xf>
    <xf numFmtId="2" fontId="16" fillId="0" borderId="81" xfId="0" applyNumberFormat="1" applyFont="1" applyFill="1" applyBorder="1" applyAlignment="1" applyProtection="1">
      <alignment horizontal="center" vertical="center"/>
    </xf>
    <xf numFmtId="0" fontId="16" fillId="0" borderId="27" xfId="0" applyFont="1" applyFill="1" applyBorder="1" applyAlignment="1" applyProtection="1">
      <alignment vertical="center" wrapText="1"/>
    </xf>
    <xf numFmtId="2" fontId="16" fillId="0" borderId="7" xfId="0" applyNumberFormat="1" applyFont="1" applyFill="1" applyBorder="1" applyAlignment="1" applyProtection="1">
      <alignment horizontal="center" vertical="center"/>
    </xf>
    <xf numFmtId="2" fontId="16" fillId="0" borderId="6" xfId="0" applyNumberFormat="1" applyFont="1" applyFill="1" applyBorder="1" applyAlignment="1" applyProtection="1">
      <alignment horizontal="center" vertical="center"/>
    </xf>
    <xf numFmtId="2" fontId="16" fillId="0" borderId="5" xfId="0" applyNumberFormat="1" applyFont="1" applyFill="1" applyBorder="1" applyAlignment="1" applyProtection="1">
      <alignment horizontal="center" vertical="center"/>
    </xf>
    <xf numFmtId="2" fontId="16" fillId="0" borderId="26" xfId="0" applyNumberFormat="1" applyFont="1" applyBorder="1" applyAlignment="1" applyProtection="1">
      <alignment horizontal="center" vertical="center"/>
    </xf>
    <xf numFmtId="2" fontId="16" fillId="0" borderId="6" xfId="0" applyNumberFormat="1" applyFont="1" applyBorder="1" applyAlignment="1" applyProtection="1">
      <alignment horizontal="center" vertical="center"/>
    </xf>
    <xf numFmtId="2" fontId="16" fillId="0" borderId="5" xfId="0" applyNumberFormat="1" applyFont="1" applyBorder="1" applyAlignment="1" applyProtection="1">
      <alignment horizontal="center" vertical="center"/>
    </xf>
    <xf numFmtId="2" fontId="16" fillId="0" borderId="7" xfId="0" applyNumberFormat="1" applyFont="1" applyBorder="1" applyAlignment="1" applyProtection="1">
      <alignment horizontal="center" vertical="center"/>
    </xf>
    <xf numFmtId="2" fontId="9" fillId="0" borderId="61" xfId="0" applyNumberFormat="1" applyFont="1" applyBorder="1" applyAlignment="1" applyProtection="1">
      <alignment horizontal="center" vertical="center"/>
    </xf>
    <xf numFmtId="2" fontId="9" fillId="0" borderId="62" xfId="0" applyNumberFormat="1" applyFont="1" applyBorder="1" applyAlignment="1" applyProtection="1">
      <alignment horizontal="center" vertical="center"/>
    </xf>
    <xf numFmtId="2" fontId="9" fillId="0" borderId="63" xfId="0" applyNumberFormat="1" applyFont="1" applyBorder="1" applyAlignment="1" applyProtection="1">
      <alignment horizontal="center" vertical="center"/>
    </xf>
    <xf numFmtId="0" fontId="16" fillId="0" borderId="37" xfId="0" applyFont="1" applyFill="1" applyBorder="1" applyAlignment="1" applyProtection="1">
      <alignment vertical="center"/>
    </xf>
    <xf numFmtId="2" fontId="16" fillId="0" borderId="26" xfId="0" applyNumberFormat="1" applyFont="1" applyFill="1" applyBorder="1" applyAlignment="1" applyProtection="1">
      <alignment horizontal="center" vertical="center"/>
    </xf>
    <xf numFmtId="2" fontId="16" fillId="0" borderId="29" xfId="0" applyNumberFormat="1" applyFont="1" applyFill="1" applyBorder="1" applyAlignment="1" applyProtection="1">
      <alignment horizontal="center" vertical="center"/>
    </xf>
    <xf numFmtId="2" fontId="16" fillId="0" borderId="30" xfId="0" applyNumberFormat="1" applyFont="1" applyFill="1" applyBorder="1" applyAlignment="1" applyProtection="1">
      <alignment horizontal="center" vertical="center"/>
    </xf>
    <xf numFmtId="2" fontId="16" fillId="0" borderId="29" xfId="0" applyNumberFormat="1" applyFont="1" applyBorder="1" applyAlignment="1" applyProtection="1">
      <alignment horizontal="center" vertical="center"/>
    </xf>
    <xf numFmtId="2" fontId="16" fillId="0" borderId="30" xfId="0" applyNumberFormat="1" applyFont="1" applyBorder="1" applyAlignment="1" applyProtection="1">
      <alignment horizontal="center" vertical="center"/>
    </xf>
    <xf numFmtId="0" fontId="16" fillId="0" borderId="27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vertical="center" wrapText="1"/>
    </xf>
    <xf numFmtId="0" fontId="16" fillId="6" borderId="34" xfId="0" applyFont="1" applyFill="1" applyBorder="1" applyAlignment="1" applyProtection="1">
      <alignment horizontal="center" vertical="center"/>
    </xf>
    <xf numFmtId="0" fontId="16" fillId="6" borderId="32" xfId="0" applyFont="1" applyFill="1" applyBorder="1" applyAlignment="1" applyProtection="1">
      <alignment horizontal="center" vertical="center"/>
    </xf>
    <xf numFmtId="0" fontId="16" fillId="6" borderId="35" xfId="0" applyFont="1" applyFill="1" applyBorder="1" applyAlignment="1" applyProtection="1">
      <alignment horizontal="center" vertical="center"/>
    </xf>
    <xf numFmtId="0" fontId="16" fillId="6" borderId="40" xfId="0" applyFont="1" applyFill="1" applyBorder="1" applyAlignment="1" applyProtection="1">
      <alignment horizontal="center" vertical="center"/>
    </xf>
    <xf numFmtId="0" fontId="16" fillId="6" borderId="39" xfId="0" applyFont="1" applyFill="1" applyBorder="1" applyAlignment="1" applyProtection="1">
      <alignment horizontal="center" vertical="center"/>
    </xf>
    <xf numFmtId="164" fontId="16" fillId="6" borderId="73" xfId="0" applyNumberFormat="1" applyFont="1" applyFill="1" applyBorder="1" applyAlignment="1" applyProtection="1">
      <alignment horizontal="center" vertical="center"/>
    </xf>
    <xf numFmtId="164" fontId="16" fillId="6" borderId="82" xfId="0" applyNumberFormat="1" applyFont="1" applyFill="1" applyBorder="1" applyAlignment="1" applyProtection="1">
      <alignment horizontal="center" vertical="center"/>
    </xf>
    <xf numFmtId="164" fontId="16" fillId="6" borderId="80" xfId="0" applyNumberFormat="1" applyFont="1" applyFill="1" applyBorder="1" applyAlignment="1" applyProtection="1">
      <alignment horizontal="center" vertical="center"/>
    </xf>
    <xf numFmtId="164" fontId="16" fillId="6" borderId="81" xfId="0" applyNumberFormat="1" applyFont="1" applyFill="1" applyBorder="1" applyAlignment="1" applyProtection="1">
      <alignment horizontal="center" vertical="center"/>
    </xf>
    <xf numFmtId="164" fontId="16" fillId="6" borderId="79" xfId="0" applyNumberFormat="1" applyFont="1" applyFill="1" applyBorder="1" applyAlignment="1" applyProtection="1">
      <alignment horizontal="center" vertical="center"/>
    </xf>
    <xf numFmtId="164" fontId="16" fillId="6" borderId="8" xfId="0" applyNumberFormat="1" applyFont="1" applyFill="1" applyBorder="1" applyAlignment="1" applyProtection="1">
      <alignment horizontal="center" vertical="center"/>
    </xf>
    <xf numFmtId="164" fontId="16" fillId="6" borderId="38" xfId="0" applyNumberFormat="1" applyFont="1" applyFill="1" applyBorder="1" applyAlignment="1" applyProtection="1">
      <alignment horizontal="center" vertical="center"/>
    </xf>
    <xf numFmtId="164" fontId="16" fillId="6" borderId="6" xfId="0" applyNumberFormat="1" applyFont="1" applyFill="1" applyBorder="1" applyAlignment="1" applyProtection="1">
      <alignment horizontal="center" vertical="center"/>
    </xf>
    <xf numFmtId="2" fontId="16" fillId="6" borderId="5" xfId="0" applyNumberFormat="1" applyFont="1" applyFill="1" applyBorder="1" applyAlignment="1" applyProtection="1">
      <alignment horizontal="center" vertical="center"/>
    </xf>
    <xf numFmtId="164" fontId="16" fillId="6" borderId="7" xfId="0" applyNumberFormat="1" applyFont="1" applyFill="1" applyBorder="1" applyAlignment="1" applyProtection="1">
      <alignment horizontal="center" vertical="center"/>
    </xf>
    <xf numFmtId="164" fontId="16" fillId="6" borderId="5" xfId="0" applyNumberFormat="1" applyFont="1" applyFill="1" applyBorder="1" applyAlignment="1" applyProtection="1">
      <alignment horizontal="center" vertical="center"/>
    </xf>
    <xf numFmtId="164" fontId="16" fillId="6" borderId="4" xfId="0" applyNumberFormat="1" applyFont="1" applyFill="1" applyBorder="1" applyAlignment="1" applyProtection="1">
      <alignment horizontal="center" vertical="center"/>
    </xf>
    <xf numFmtId="164" fontId="16" fillId="6" borderId="50" xfId="0" applyNumberFormat="1" applyFont="1" applyFill="1" applyBorder="1" applyAlignment="1" applyProtection="1">
      <alignment horizontal="center" vertical="center"/>
    </xf>
    <xf numFmtId="164" fontId="16" fillId="6" borderId="2" xfId="0" applyNumberFormat="1" applyFont="1" applyFill="1" applyBorder="1" applyAlignment="1" applyProtection="1">
      <alignment horizontal="center" vertical="center"/>
    </xf>
    <xf numFmtId="164" fontId="16" fillId="6" borderId="1" xfId="0" applyNumberFormat="1" applyFont="1" applyFill="1" applyBorder="1" applyAlignment="1" applyProtection="1">
      <alignment horizontal="center" vertical="center"/>
    </xf>
    <xf numFmtId="164" fontId="16" fillId="6" borderId="3" xfId="0" applyNumberFormat="1" applyFont="1" applyFill="1" applyBorder="1" applyAlignment="1" applyProtection="1">
      <alignment horizontal="center" vertical="center"/>
    </xf>
    <xf numFmtId="164" fontId="16" fillId="6" borderId="44" xfId="0" applyNumberFormat="1" applyFont="1" applyFill="1" applyBorder="1" applyAlignment="1" applyProtection="1">
      <alignment horizontal="center" vertical="center"/>
    </xf>
    <xf numFmtId="164" fontId="16" fillId="6" borderId="56" xfId="0" applyNumberFormat="1" applyFont="1" applyFill="1" applyBorder="1" applyAlignment="1" applyProtection="1">
      <alignment horizontal="center" vertical="center"/>
    </xf>
    <xf numFmtId="164" fontId="16" fillId="6" borderId="29" xfId="0" applyNumberFormat="1" applyFont="1" applyFill="1" applyBorder="1" applyAlignment="1" applyProtection="1">
      <alignment horizontal="center" vertical="center"/>
    </xf>
    <xf numFmtId="164" fontId="16" fillId="6" borderId="30" xfId="0" applyNumberFormat="1" applyFont="1" applyFill="1" applyBorder="1" applyAlignment="1" applyProtection="1">
      <alignment horizontal="center" vertical="center"/>
    </xf>
    <xf numFmtId="164" fontId="16" fillId="6" borderId="26" xfId="0" applyNumberFormat="1" applyFont="1" applyFill="1" applyBorder="1" applyAlignment="1" applyProtection="1">
      <alignment horizontal="center" vertical="center"/>
    </xf>
    <xf numFmtId="2" fontId="16" fillId="0" borderId="34" xfId="0" applyNumberFormat="1" applyFont="1" applyFill="1" applyBorder="1" applyAlignment="1" applyProtection="1">
      <alignment horizontal="center" vertical="center"/>
    </xf>
    <xf numFmtId="2" fontId="16" fillId="0" borderId="32" xfId="0" applyNumberFormat="1" applyFont="1" applyFill="1" applyBorder="1" applyAlignment="1" applyProtection="1">
      <alignment horizontal="center" vertical="center"/>
    </xf>
    <xf numFmtId="2" fontId="16" fillId="0" borderId="35" xfId="0" applyNumberFormat="1" applyFont="1" applyFill="1" applyBorder="1" applyAlignment="1" applyProtection="1">
      <alignment horizontal="center" vertical="center"/>
    </xf>
    <xf numFmtId="49" fontId="16" fillId="0" borderId="27" xfId="0" applyNumberFormat="1" applyFont="1" applyFill="1" applyBorder="1" applyAlignment="1" applyProtection="1">
      <alignment vertical="center" wrapText="1"/>
    </xf>
    <xf numFmtId="49" fontId="16" fillId="0" borderId="40" xfId="0" applyNumberFormat="1" applyFont="1" applyFill="1" applyBorder="1" applyAlignment="1" applyProtection="1">
      <alignment vertical="center" wrapText="1"/>
    </xf>
    <xf numFmtId="0" fontId="16" fillId="6" borderId="0" xfId="0" applyFont="1" applyFill="1" applyBorder="1" applyAlignment="1" applyProtection="1">
      <alignment vertical="center"/>
    </xf>
    <xf numFmtId="9" fontId="16" fillId="0" borderId="6" xfId="0" applyNumberFormat="1" applyFont="1" applyBorder="1" applyAlignment="1" applyProtection="1">
      <alignment horizontal="center" vertical="center"/>
    </xf>
    <xf numFmtId="0" fontId="17" fillId="6" borderId="81" xfId="0" applyFont="1" applyFill="1" applyBorder="1" applyAlignment="1" applyProtection="1">
      <alignment horizontal="center" vertical="center"/>
    </xf>
    <xf numFmtId="2" fontId="41" fillId="6" borderId="6" xfId="0" applyNumberFormat="1" applyFont="1" applyFill="1" applyBorder="1" applyAlignment="1" applyProtection="1">
      <alignment horizontal="center" vertical="center" wrapText="1"/>
    </xf>
    <xf numFmtId="2" fontId="41" fillId="6" borderId="5" xfId="0" applyNumberFormat="1" applyFont="1" applyFill="1" applyBorder="1" applyAlignment="1" applyProtection="1">
      <alignment horizontal="center" vertical="center" wrapText="1"/>
    </xf>
    <xf numFmtId="2" fontId="41" fillId="6" borderId="2" xfId="0" applyNumberFormat="1" applyFont="1" applyFill="1" applyBorder="1" applyAlignment="1" applyProtection="1">
      <alignment horizontal="center" vertical="center" wrapText="1"/>
    </xf>
    <xf numFmtId="2" fontId="41" fillId="6" borderId="1" xfId="0" applyNumberFormat="1" applyFont="1" applyFill="1" applyBorder="1" applyAlignment="1" applyProtection="1">
      <alignment horizontal="center" vertical="center" wrapText="1"/>
    </xf>
    <xf numFmtId="0" fontId="16" fillId="6" borderId="0" xfId="0" applyFont="1" applyFill="1" applyBorder="1" applyAlignment="1" applyProtection="1">
      <alignment vertical="center" wrapText="1"/>
    </xf>
    <xf numFmtId="2" fontId="16" fillId="6" borderId="0" xfId="0" applyNumberFormat="1" applyFont="1" applyFill="1" applyBorder="1" applyAlignment="1" applyProtection="1">
      <alignment horizontal="center" vertical="center" wrapText="1"/>
    </xf>
    <xf numFmtId="2" fontId="41" fillId="6" borderId="0" xfId="0" applyNumberFormat="1" applyFont="1" applyFill="1" applyBorder="1" applyAlignment="1" applyProtection="1">
      <alignment horizontal="center" vertical="center" wrapText="1"/>
    </xf>
    <xf numFmtId="0" fontId="42" fillId="6" borderId="0" xfId="0" applyFont="1" applyFill="1" applyBorder="1" applyAlignment="1" applyProtection="1">
      <alignment horizontal="center" vertical="center"/>
    </xf>
    <xf numFmtId="0" fontId="17" fillId="6" borderId="81" xfId="0" applyFont="1" applyFill="1" applyBorder="1" applyAlignment="1" applyProtection="1">
      <alignment horizontal="center" vertical="center" wrapText="1"/>
    </xf>
    <xf numFmtId="0" fontId="17" fillId="6" borderId="62" xfId="0" applyFont="1" applyFill="1" applyBorder="1" applyAlignment="1" applyProtection="1">
      <alignment horizontal="center" vertical="center"/>
    </xf>
    <xf numFmtId="0" fontId="17" fillId="6" borderId="63" xfId="0" applyFont="1" applyFill="1" applyBorder="1" applyAlignment="1" applyProtection="1">
      <alignment horizontal="center" vertical="center"/>
    </xf>
    <xf numFmtId="0" fontId="17" fillId="6" borderId="61" xfId="0" applyFont="1" applyFill="1" applyBorder="1" applyAlignment="1" applyProtection="1">
      <alignment horizontal="center" vertical="center"/>
    </xf>
    <xf numFmtId="164" fontId="17" fillId="6" borderId="79" xfId="0" applyNumberFormat="1" applyFont="1" applyFill="1" applyBorder="1" applyAlignment="1" applyProtection="1">
      <alignment horizontal="center" vertical="center"/>
    </xf>
    <xf numFmtId="9" fontId="40" fillId="6" borderId="0" xfId="0" applyNumberFormat="1" applyFont="1" applyFill="1" applyBorder="1" applyAlignment="1" applyProtection="1">
      <alignment horizontal="center" vertical="center" wrapText="1"/>
    </xf>
    <xf numFmtId="0" fontId="17" fillId="6" borderId="0" xfId="0" applyFont="1" applyFill="1" applyBorder="1" applyAlignment="1" applyProtection="1">
      <alignment vertical="center"/>
    </xf>
    <xf numFmtId="9" fontId="40" fillId="6" borderId="0" xfId="0" applyNumberFormat="1" applyFont="1" applyFill="1" applyBorder="1" applyAlignment="1" applyProtection="1">
      <alignment horizontal="center" vertical="center"/>
    </xf>
    <xf numFmtId="9" fontId="16" fillId="6" borderId="6" xfId="0" applyNumberFormat="1" applyFont="1" applyFill="1" applyBorder="1" applyAlignment="1" applyProtection="1">
      <alignment horizontal="center" vertical="center" wrapText="1"/>
    </xf>
    <xf numFmtId="164" fontId="17" fillId="6" borderId="81" xfId="0" applyNumberFormat="1" applyFont="1" applyFill="1" applyBorder="1" applyAlignment="1" applyProtection="1">
      <alignment horizontal="center" vertical="center"/>
    </xf>
    <xf numFmtId="9" fontId="16" fillId="6" borderId="27" xfId="0" applyNumberFormat="1" applyFont="1" applyFill="1" applyBorder="1" applyAlignment="1" applyProtection="1">
      <alignment horizontal="center" vertical="center"/>
    </xf>
    <xf numFmtId="9" fontId="16" fillId="6" borderId="32" xfId="0" applyNumberFormat="1" applyFont="1" applyFill="1" applyBorder="1" applyAlignment="1" applyProtection="1">
      <alignment horizontal="center" vertical="center" wrapText="1"/>
    </xf>
    <xf numFmtId="9" fontId="16" fillId="6" borderId="40" xfId="0" applyNumberFormat="1" applyFont="1" applyFill="1" applyBorder="1" applyAlignment="1" applyProtection="1">
      <alignment horizontal="center" vertical="center"/>
    </xf>
    <xf numFmtId="0" fontId="16" fillId="6" borderId="6" xfId="0" applyFont="1" applyFill="1" applyBorder="1" applyAlignment="1" applyProtection="1">
      <alignment horizontal="center" vertical="center"/>
    </xf>
    <xf numFmtId="0" fontId="16" fillId="6" borderId="31" xfId="0" applyFont="1" applyFill="1" applyBorder="1" applyAlignment="1" applyProtection="1">
      <alignment vertical="center"/>
    </xf>
    <xf numFmtId="0" fontId="40" fillId="6" borderId="31" xfId="0" applyFont="1" applyFill="1" applyBorder="1" applyAlignment="1" applyProtection="1">
      <alignment vertical="center" wrapText="1"/>
    </xf>
    <xf numFmtId="9" fontId="40" fillId="6" borderId="31" xfId="0" applyNumberFormat="1" applyFont="1" applyFill="1" applyBorder="1" applyAlignment="1" applyProtection="1">
      <alignment horizontal="center" vertical="center" wrapText="1"/>
    </xf>
    <xf numFmtId="0" fontId="17" fillId="6" borderId="31" xfId="0" applyFont="1" applyFill="1" applyBorder="1" applyAlignment="1" applyProtection="1">
      <alignment vertical="center"/>
    </xf>
    <xf numFmtId="9" fontId="40" fillId="6" borderId="31" xfId="0" applyNumberFormat="1" applyFont="1" applyFill="1" applyBorder="1" applyAlignment="1" applyProtection="1">
      <alignment horizontal="center" vertical="center"/>
    </xf>
    <xf numFmtId="9" fontId="25" fillId="6" borderId="31" xfId="0" applyNumberFormat="1" applyFont="1" applyFill="1" applyBorder="1" applyAlignment="1" applyProtection="1">
      <alignment horizontal="center" vertical="center" wrapText="1"/>
    </xf>
    <xf numFmtId="9" fontId="44" fillId="6" borderId="31" xfId="0" applyNumberFormat="1" applyFont="1" applyFill="1" applyBorder="1" applyAlignment="1" applyProtection="1">
      <alignment horizontal="center" vertical="center"/>
    </xf>
    <xf numFmtId="9" fontId="25" fillId="6" borderId="0" xfId="0" applyNumberFormat="1" applyFont="1" applyFill="1" applyBorder="1" applyAlignment="1" applyProtection="1">
      <alignment horizontal="center" vertical="center" wrapText="1"/>
    </xf>
    <xf numFmtId="2" fontId="17" fillId="6" borderId="80" xfId="0" applyNumberFormat="1" applyFont="1" applyFill="1" applyBorder="1" applyAlignment="1" applyProtection="1">
      <alignment horizontal="center" vertical="center"/>
    </xf>
    <xf numFmtId="2" fontId="17" fillId="6" borderId="81" xfId="0" applyNumberFormat="1" applyFont="1" applyFill="1" applyBorder="1" applyAlignment="1" applyProtection="1">
      <alignment horizontal="center" vertical="center"/>
    </xf>
    <xf numFmtId="0" fontId="40" fillId="6" borderId="81" xfId="0" applyFont="1" applyFill="1" applyBorder="1" applyAlignment="1" applyProtection="1">
      <alignment horizontal="center" vertical="center"/>
    </xf>
    <xf numFmtId="2" fontId="47" fillId="6" borderId="6" xfId="0" applyNumberFormat="1" applyFont="1" applyFill="1" applyBorder="1" applyAlignment="1" applyProtection="1">
      <alignment horizontal="center" vertical="center" wrapText="1"/>
    </xf>
    <xf numFmtId="2" fontId="47" fillId="6" borderId="5" xfId="0" applyNumberFormat="1" applyFont="1" applyFill="1" applyBorder="1" applyAlignment="1" applyProtection="1">
      <alignment horizontal="center" vertical="center" wrapText="1"/>
    </xf>
    <xf numFmtId="2" fontId="25" fillId="6" borderId="6" xfId="0" applyNumberFormat="1" applyFont="1" applyFill="1" applyBorder="1" applyAlignment="1" applyProtection="1">
      <alignment horizontal="center" vertical="center" wrapText="1"/>
    </xf>
    <xf numFmtId="2" fontId="47" fillId="6" borderId="2" xfId="0" applyNumberFormat="1" applyFont="1" applyFill="1" applyBorder="1" applyAlignment="1" applyProtection="1">
      <alignment horizontal="center" vertical="center" wrapText="1"/>
    </xf>
    <xf numFmtId="2" fontId="47" fillId="6" borderId="1" xfId="0" applyNumberFormat="1" applyFont="1" applyFill="1" applyBorder="1" applyAlignment="1" applyProtection="1">
      <alignment horizontal="center" vertical="center" wrapText="1"/>
    </xf>
    <xf numFmtId="0" fontId="29" fillId="6" borderId="0" xfId="0" applyFont="1" applyFill="1" applyBorder="1" applyAlignment="1" applyProtection="1">
      <alignment horizontal="left" vertical="center"/>
    </xf>
    <xf numFmtId="0" fontId="25" fillId="6" borderId="0" xfId="0" applyFont="1" applyFill="1" applyBorder="1" applyAlignment="1" applyProtection="1">
      <alignment horizontal="left" vertical="center"/>
    </xf>
    <xf numFmtId="0" fontId="16" fillId="6" borderId="31" xfId="0" applyFont="1" applyFill="1" applyBorder="1" applyAlignment="1" applyProtection="1">
      <alignment horizontal="center" vertical="center"/>
    </xf>
    <xf numFmtId="0" fontId="17" fillId="6" borderId="33" xfId="0" applyFont="1" applyFill="1" applyBorder="1" applyAlignment="1" applyProtection="1">
      <alignment vertical="center" wrapText="1"/>
    </xf>
    <xf numFmtId="0" fontId="17" fillId="6" borderId="42" xfId="0" applyFont="1" applyFill="1" applyBorder="1" applyAlignment="1" applyProtection="1">
      <alignment vertical="center" wrapText="1"/>
    </xf>
    <xf numFmtId="0" fontId="40" fillId="6" borderId="42" xfId="0" applyFont="1" applyFill="1" applyBorder="1" applyAlignment="1" applyProtection="1">
      <alignment vertical="center" wrapText="1"/>
    </xf>
    <xf numFmtId="0" fontId="40" fillId="6" borderId="45" xfId="0" applyFont="1" applyFill="1" applyBorder="1" applyAlignment="1" applyProtection="1">
      <alignment vertical="center" wrapText="1"/>
    </xf>
    <xf numFmtId="0" fontId="11" fillId="0" borderId="29" xfId="0" applyFont="1" applyBorder="1" applyAlignment="1">
      <alignment vertical="center"/>
    </xf>
    <xf numFmtId="0" fontId="17" fillId="6" borderId="62" xfId="0" applyFont="1" applyFill="1" applyBorder="1" applyAlignment="1" applyProtection="1">
      <alignment horizontal="center" vertical="center" wrapText="1"/>
    </xf>
    <xf numFmtId="0" fontId="17" fillId="6" borderId="63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vertical="center"/>
    </xf>
    <xf numFmtId="0" fontId="16" fillId="6" borderId="1" xfId="0" applyFont="1" applyFill="1" applyBorder="1" applyAlignment="1" applyProtection="1">
      <alignment vertical="center"/>
    </xf>
    <xf numFmtId="0" fontId="25" fillId="6" borderId="50" xfId="0" applyFont="1" applyFill="1" applyBorder="1" applyAlignment="1" applyProtection="1">
      <alignment horizontal="center" vertical="center" wrapText="1"/>
    </xf>
    <xf numFmtId="0" fontId="25" fillId="6" borderId="2" xfId="0" applyFont="1" applyFill="1" applyBorder="1" applyAlignment="1" applyProtection="1">
      <alignment horizontal="center" vertical="center" wrapText="1"/>
    </xf>
    <xf numFmtId="0" fontId="25" fillId="6" borderId="1" xfId="0" applyFont="1" applyFill="1" applyBorder="1" applyAlignment="1" applyProtection="1">
      <alignment horizontal="center" vertical="center" wrapText="1"/>
    </xf>
    <xf numFmtId="164" fontId="25" fillId="6" borderId="38" xfId="0" applyNumberFormat="1" applyFont="1" applyFill="1" applyBorder="1" applyAlignment="1" applyProtection="1">
      <alignment horizontal="center" vertical="center" wrapText="1"/>
    </xf>
    <xf numFmtId="164" fontId="25" fillId="6" borderId="6" xfId="0" applyNumberFormat="1" applyFont="1" applyFill="1" applyBorder="1" applyAlignment="1" applyProtection="1">
      <alignment horizontal="center" vertical="center" wrapText="1"/>
    </xf>
    <xf numFmtId="0" fontId="25" fillId="6" borderId="4" xfId="0" applyFont="1" applyFill="1" applyBorder="1" applyAlignment="1" applyProtection="1">
      <alignment vertical="center" wrapText="1"/>
    </xf>
    <xf numFmtId="0" fontId="40" fillId="6" borderId="0" xfId="0" applyFont="1" applyFill="1" applyBorder="1" applyAlignment="1" applyProtection="1">
      <alignment horizontal="left" vertical="center" wrapText="1"/>
    </xf>
    <xf numFmtId="0" fontId="49" fillId="6" borderId="0" xfId="0" applyFont="1" applyFill="1" applyBorder="1" applyAlignment="1" applyProtection="1">
      <alignment vertical="center"/>
    </xf>
    <xf numFmtId="0" fontId="17" fillId="0" borderId="2" xfId="0" applyFont="1" applyBorder="1" applyAlignment="1" applyProtection="1">
      <alignment horizontal="center" vertical="center"/>
    </xf>
    <xf numFmtId="0" fontId="25" fillId="6" borderId="26" xfId="0" applyFont="1" applyFill="1" applyBorder="1" applyAlignment="1" applyProtection="1">
      <alignment vertical="center" wrapText="1"/>
    </xf>
    <xf numFmtId="164" fontId="16" fillId="0" borderId="29" xfId="0" applyNumberFormat="1" applyFont="1" applyBorder="1" applyAlignment="1" applyProtection="1">
      <alignment horizontal="center" vertical="center"/>
    </xf>
    <xf numFmtId="0" fontId="25" fillId="6" borderId="7" xfId="0" applyFont="1" applyFill="1" applyBorder="1" applyAlignment="1" applyProtection="1">
      <alignment vertical="center" wrapText="1"/>
    </xf>
    <xf numFmtId="164" fontId="16" fillId="0" borderId="6" xfId="0" applyNumberFormat="1" applyFont="1" applyBorder="1" applyAlignment="1" applyProtection="1">
      <alignment horizontal="center" vertical="center"/>
    </xf>
    <xf numFmtId="0" fontId="25" fillId="6" borderId="3" xfId="0" applyFont="1" applyFill="1" applyBorder="1" applyAlignment="1" applyProtection="1">
      <alignment vertical="center" wrapText="1"/>
    </xf>
    <xf numFmtId="164" fontId="16" fillId="0" borderId="2" xfId="0" applyNumberFormat="1" applyFont="1" applyBorder="1" applyAlignment="1" applyProtection="1">
      <alignment horizontal="center" vertical="center"/>
    </xf>
    <xf numFmtId="164" fontId="25" fillId="6" borderId="39" xfId="0" applyNumberFormat="1" applyFont="1" applyFill="1" applyBorder="1" applyAlignment="1" applyProtection="1">
      <alignment horizontal="center" vertical="center" wrapText="1"/>
    </xf>
    <xf numFmtId="2" fontId="25" fillId="6" borderId="32" xfId="0" applyNumberFormat="1" applyFont="1" applyFill="1" applyBorder="1" applyAlignment="1" applyProtection="1">
      <alignment horizontal="center" vertical="center" wrapText="1"/>
    </xf>
    <xf numFmtId="164" fontId="25" fillId="6" borderId="32" xfId="0" applyNumberFormat="1" applyFont="1" applyFill="1" applyBorder="1" applyAlignment="1" applyProtection="1">
      <alignment horizontal="center" vertical="center" wrapText="1"/>
    </xf>
    <xf numFmtId="0" fontId="25" fillId="6" borderId="32" xfId="0" applyFont="1" applyFill="1" applyBorder="1" applyAlignment="1" applyProtection="1">
      <alignment horizontal="center" vertical="center" wrapText="1"/>
    </xf>
    <xf numFmtId="0" fontId="25" fillId="6" borderId="35" xfId="0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vertical="center" wrapText="1"/>
    </xf>
    <xf numFmtId="9" fontId="16" fillId="0" borderId="6" xfId="0" applyNumberFormat="1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vertical="center"/>
    </xf>
    <xf numFmtId="2" fontId="16" fillId="0" borderId="32" xfId="0" applyNumberFormat="1" applyFont="1" applyBorder="1" applyAlignment="1" applyProtection="1">
      <alignment horizontal="center" vertical="center"/>
    </xf>
    <xf numFmtId="0" fontId="40" fillId="0" borderId="2" xfId="0" applyFont="1" applyBorder="1" applyAlignment="1" applyProtection="1">
      <alignment vertical="center" wrapText="1"/>
    </xf>
    <xf numFmtId="0" fontId="17" fillId="0" borderId="2" xfId="0" applyFont="1" applyBorder="1" applyAlignment="1" applyProtection="1">
      <alignment vertical="center"/>
    </xf>
    <xf numFmtId="9" fontId="56" fillId="0" borderId="2" xfId="0" applyNumberFormat="1" applyFont="1" applyFill="1" applyBorder="1" applyAlignment="1" applyProtection="1">
      <alignment horizontal="center" vertical="center"/>
    </xf>
    <xf numFmtId="2" fontId="6" fillId="0" borderId="2" xfId="0" applyNumberFormat="1" applyFont="1" applyBorder="1" applyAlignment="1" applyProtection="1">
      <alignment horizontal="center" vertical="center"/>
    </xf>
    <xf numFmtId="2" fontId="6" fillId="0" borderId="1" xfId="0" applyNumberFormat="1" applyFont="1" applyBorder="1" applyAlignment="1" applyProtection="1">
      <alignment horizontal="center" vertical="center"/>
    </xf>
    <xf numFmtId="9" fontId="44" fillId="6" borderId="0" xfId="0" applyNumberFormat="1" applyFont="1" applyFill="1" applyBorder="1" applyAlignment="1" applyProtection="1">
      <alignment horizontal="center" vertical="center"/>
    </xf>
    <xf numFmtId="9" fontId="16" fillId="0" borderId="2" xfId="0" applyNumberFormat="1" applyFont="1" applyBorder="1" applyAlignment="1" applyProtection="1">
      <alignment horizontal="center" vertical="center" wrapText="1"/>
    </xf>
    <xf numFmtId="9" fontId="57" fillId="0" borderId="2" xfId="0" applyNumberFormat="1" applyFont="1" applyFill="1" applyBorder="1" applyAlignment="1" applyProtection="1">
      <alignment horizontal="center" vertical="center"/>
    </xf>
    <xf numFmtId="2" fontId="17" fillId="0" borderId="2" xfId="0" applyNumberFormat="1" applyFont="1" applyBorder="1" applyAlignment="1" applyProtection="1">
      <alignment horizontal="center" vertical="center"/>
    </xf>
    <xf numFmtId="0" fontId="17" fillId="6" borderId="0" xfId="0" applyFont="1" applyFill="1" applyBorder="1" applyAlignment="1" applyProtection="1">
      <alignment horizontal="center" vertical="center"/>
    </xf>
    <xf numFmtId="2" fontId="16" fillId="6" borderId="0" xfId="0" applyNumberFormat="1" applyFont="1" applyFill="1" applyBorder="1" applyAlignment="1" applyProtection="1">
      <alignment vertical="center"/>
    </xf>
    <xf numFmtId="0" fontId="16" fillId="0" borderId="2" xfId="0" applyFont="1" applyBorder="1" applyAlignment="1" applyProtection="1">
      <alignment vertical="center"/>
    </xf>
    <xf numFmtId="9" fontId="44" fillId="0" borderId="2" xfId="0" applyNumberFormat="1" applyFont="1" applyFill="1" applyBorder="1" applyAlignment="1" applyProtection="1">
      <alignment horizontal="center" vertical="center"/>
    </xf>
    <xf numFmtId="0" fontId="58" fillId="6" borderId="0" xfId="0" applyFont="1" applyFill="1" applyAlignment="1">
      <alignment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8" fillId="0" borderId="0" xfId="0" applyFont="1" applyFill="1" applyAlignment="1">
      <alignment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 applyProtection="1">
      <alignment horizontal="center" vertical="center"/>
      <protection locked="0"/>
    </xf>
    <xf numFmtId="0" fontId="15" fillId="6" borderId="0" xfId="0" applyFont="1" applyFill="1" applyBorder="1" applyAlignment="1" applyProtection="1">
      <alignment vertical="center"/>
    </xf>
    <xf numFmtId="0" fontId="40" fillId="6" borderId="0" xfId="0" applyFont="1" applyFill="1" applyBorder="1" applyAlignment="1" applyProtection="1">
      <alignment vertical="center" wrapText="1"/>
    </xf>
    <xf numFmtId="0" fontId="6" fillId="6" borderId="0" xfId="0" applyFont="1" applyFill="1" applyBorder="1" applyAlignment="1" applyProtection="1">
      <alignment vertical="center" wrapText="1"/>
    </xf>
    <xf numFmtId="164" fontId="15" fillId="6" borderId="6" xfId="0" applyNumberFormat="1" applyFont="1" applyFill="1" applyBorder="1" applyAlignment="1" applyProtection="1">
      <alignment horizontal="center" vertical="center"/>
    </xf>
    <xf numFmtId="0" fontId="9" fillId="0" borderId="79" xfId="0" applyFont="1" applyBorder="1" applyAlignment="1" applyProtection="1">
      <alignment horizontal="center" vertical="center"/>
    </xf>
    <xf numFmtId="0" fontId="17" fillId="0" borderId="65" xfId="0" applyFont="1" applyBorder="1" applyAlignment="1" applyProtection="1">
      <alignment horizontal="center" vertical="center" wrapText="1"/>
    </xf>
    <xf numFmtId="0" fontId="17" fillId="0" borderId="80" xfId="0" applyFont="1" applyBorder="1" applyAlignment="1" applyProtection="1">
      <alignment horizontal="center" vertical="center" wrapText="1"/>
    </xf>
    <xf numFmtId="0" fontId="17" fillId="0" borderId="80" xfId="0" applyFont="1" applyFill="1" applyBorder="1" applyAlignment="1" applyProtection="1">
      <alignment horizontal="center" vertical="center"/>
    </xf>
    <xf numFmtId="0" fontId="6" fillId="0" borderId="80" xfId="0" applyFont="1" applyBorder="1" applyAlignment="1" applyProtection="1">
      <alignment vertical="center" wrapText="1"/>
    </xf>
    <xf numFmtId="0" fontId="0" fillId="6" borderId="0" xfId="0" applyFill="1" applyBorder="1" applyAlignment="1" applyProtection="1">
      <alignment horizontal="center" vertical="center" wrapText="1"/>
    </xf>
    <xf numFmtId="0" fontId="39" fillId="6" borderId="0" xfId="0" applyFont="1" applyFill="1" applyBorder="1" applyAlignment="1">
      <alignment horizontal="left" vertical="center"/>
    </xf>
    <xf numFmtId="0" fontId="0" fillId="6" borderId="0" xfId="0" applyFill="1" applyBorder="1" applyAlignment="1" applyProtection="1">
      <alignment vertical="center" wrapText="1"/>
    </xf>
    <xf numFmtId="0" fontId="0" fillId="6" borderId="0" xfId="0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40" fillId="6" borderId="0" xfId="0" applyFont="1" applyFill="1" applyBorder="1" applyAlignment="1" applyProtection="1">
      <alignment horizontal="center" vertical="center"/>
    </xf>
    <xf numFmtId="2" fontId="25" fillId="6" borderId="0" xfId="0" applyNumberFormat="1" applyFont="1" applyFill="1" applyBorder="1" applyAlignment="1" applyProtection="1">
      <alignment horizontal="center" vertical="center" wrapText="1"/>
    </xf>
    <xf numFmtId="2" fontId="47" fillId="6" borderId="0" xfId="0" applyNumberFormat="1" applyFont="1" applyFill="1" applyBorder="1" applyAlignment="1" applyProtection="1">
      <alignment horizontal="center" vertical="center" wrapText="1"/>
    </xf>
    <xf numFmtId="0" fontId="3" fillId="0" borderId="38" xfId="0" applyFont="1" applyBorder="1" applyAlignment="1">
      <alignment vertical="center" wrapText="1"/>
    </xf>
    <xf numFmtId="164" fontId="0" fillId="0" borderId="55" xfId="0" applyNumberFormat="1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0" fontId="55" fillId="6" borderId="0" xfId="0" applyFont="1" applyFill="1" applyBorder="1" applyAlignment="1" applyProtection="1"/>
    <xf numFmtId="0" fontId="61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43" xfId="0" applyFont="1" applyFill="1" applyBorder="1" applyAlignment="1" applyProtection="1">
      <alignment horizontal="center" vertical="center"/>
    </xf>
    <xf numFmtId="2" fontId="9" fillId="0" borderId="58" xfId="0" applyNumberFormat="1" applyFont="1" applyBorder="1" applyAlignment="1" applyProtection="1">
      <alignment horizontal="center" vertical="center"/>
    </xf>
    <xf numFmtId="0" fontId="17" fillId="0" borderId="60" xfId="0" applyFont="1" applyBorder="1" applyAlignment="1" applyProtection="1">
      <alignment horizontal="center" vertical="center"/>
    </xf>
    <xf numFmtId="0" fontId="17" fillId="0" borderId="65" xfId="0" applyFont="1" applyBorder="1" applyAlignment="1" applyProtection="1">
      <alignment horizontal="center" vertical="center"/>
    </xf>
    <xf numFmtId="0" fontId="17" fillId="0" borderId="66" xfId="0" applyFont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16" fillId="0" borderId="60" xfId="0" applyFont="1" applyFill="1" applyBorder="1" applyAlignment="1" applyProtection="1">
      <alignment vertical="center" wrapText="1"/>
    </xf>
    <xf numFmtId="0" fontId="16" fillId="0" borderId="66" xfId="0" applyFont="1" applyFill="1" applyBorder="1" applyAlignment="1" applyProtection="1">
      <alignment vertical="center"/>
    </xf>
    <xf numFmtId="2" fontId="16" fillId="0" borderId="60" xfId="0" applyNumberFormat="1" applyFont="1" applyFill="1" applyBorder="1" applyAlignment="1" applyProtection="1">
      <alignment horizontal="center" vertical="center"/>
    </xf>
    <xf numFmtId="2" fontId="16" fillId="0" borderId="65" xfId="0" applyNumberFormat="1" applyFont="1" applyFill="1" applyBorder="1" applyAlignment="1" applyProtection="1">
      <alignment horizontal="center" vertical="center"/>
    </xf>
    <xf numFmtId="2" fontId="16" fillId="0" borderId="66" xfId="0" applyNumberFormat="1" applyFont="1" applyFill="1" applyBorder="1" applyAlignment="1" applyProtection="1">
      <alignment horizontal="center" vertical="center"/>
    </xf>
    <xf numFmtId="2" fontId="17" fillId="0" borderId="60" xfId="0" applyNumberFormat="1" applyFont="1" applyBorder="1" applyAlignment="1" applyProtection="1">
      <alignment horizontal="center" vertical="center"/>
    </xf>
    <xf numFmtId="2" fontId="17" fillId="0" borderId="65" xfId="0" applyNumberFormat="1" applyFont="1" applyBorder="1" applyAlignment="1" applyProtection="1">
      <alignment horizontal="center" vertical="center"/>
    </xf>
    <xf numFmtId="2" fontId="17" fillId="0" borderId="66" xfId="0" applyNumberFormat="1" applyFont="1" applyBorder="1" applyAlignment="1" applyProtection="1">
      <alignment horizontal="center" vertical="center"/>
    </xf>
    <xf numFmtId="2" fontId="16" fillId="0" borderId="79" xfId="0" applyNumberFormat="1" applyFont="1" applyBorder="1" applyAlignment="1" applyProtection="1">
      <alignment horizontal="center" vertical="center"/>
    </xf>
    <xf numFmtId="2" fontId="16" fillId="0" borderId="80" xfId="0" applyNumberFormat="1" applyFont="1" applyBorder="1" applyAlignment="1" applyProtection="1">
      <alignment horizontal="center" vertical="center"/>
    </xf>
    <xf numFmtId="2" fontId="16" fillId="0" borderId="81" xfId="0" applyNumberFormat="1" applyFont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vertical="center" wrapText="1"/>
    </xf>
    <xf numFmtId="2" fontId="16" fillId="0" borderId="3" xfId="0" applyNumberFormat="1" applyFont="1" applyFill="1" applyBorder="1" applyAlignment="1" applyProtection="1">
      <alignment horizontal="center" vertical="center"/>
    </xf>
    <xf numFmtId="2" fontId="16" fillId="0" borderId="2" xfId="0" applyNumberFormat="1" applyFont="1" applyFill="1" applyBorder="1" applyAlignment="1" applyProtection="1">
      <alignment horizontal="center" vertical="center"/>
    </xf>
    <xf numFmtId="2" fontId="16" fillId="0" borderId="1" xfId="0" applyNumberFormat="1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vertical="center"/>
    </xf>
    <xf numFmtId="2" fontId="16" fillId="0" borderId="2" xfId="0" applyNumberFormat="1" applyFont="1" applyBorder="1" applyAlignment="1" applyProtection="1">
      <alignment horizontal="center" vertical="center"/>
    </xf>
    <xf numFmtId="2" fontId="16" fillId="0" borderId="1" xfId="0" applyNumberFormat="1" applyFont="1" applyBorder="1" applyAlignment="1" applyProtection="1">
      <alignment horizontal="center" vertical="center"/>
    </xf>
    <xf numFmtId="0" fontId="16" fillId="0" borderId="84" xfId="0" applyFont="1" applyFill="1" applyBorder="1" applyAlignment="1" applyProtection="1">
      <alignment vertical="center" wrapText="1"/>
    </xf>
    <xf numFmtId="2" fontId="16" fillId="0" borderId="47" xfId="0" applyNumberFormat="1" applyFont="1" applyFill="1" applyBorder="1" applyAlignment="1" applyProtection="1">
      <alignment horizontal="center" vertical="center"/>
    </xf>
    <xf numFmtId="2" fontId="16" fillId="0" borderId="46" xfId="0" applyNumberFormat="1" applyFont="1" applyFill="1" applyBorder="1" applyAlignment="1" applyProtection="1">
      <alignment horizontal="center" vertical="center"/>
    </xf>
    <xf numFmtId="2" fontId="16" fillId="0" borderId="84" xfId="0" applyNumberFormat="1" applyFont="1" applyFill="1" applyBorder="1" applyAlignment="1" applyProtection="1">
      <alignment horizontal="center" vertical="center"/>
    </xf>
    <xf numFmtId="2" fontId="16" fillId="0" borderId="82" xfId="0" applyNumberFormat="1" applyFont="1" applyFill="1" applyBorder="1" applyAlignment="1" applyProtection="1">
      <alignment horizontal="center" vertical="center"/>
    </xf>
    <xf numFmtId="2" fontId="16" fillId="0" borderId="38" xfId="0" applyNumberFormat="1" applyFont="1" applyFill="1" applyBorder="1" applyAlignment="1" applyProtection="1">
      <alignment horizontal="center" vertical="center"/>
    </xf>
    <xf numFmtId="2" fontId="16" fillId="0" borderId="39" xfId="0" applyNumberFormat="1" applyFont="1" applyFill="1" applyBorder="1" applyAlignment="1" applyProtection="1">
      <alignment horizontal="center" vertical="center"/>
    </xf>
    <xf numFmtId="0" fontId="17" fillId="0" borderId="79" xfId="0" applyFont="1" applyBorder="1" applyAlignment="1" applyProtection="1">
      <alignment horizontal="center" vertical="center"/>
    </xf>
    <xf numFmtId="0" fontId="17" fillId="0" borderId="81" xfId="0" applyFont="1" applyBorder="1" applyAlignment="1" applyProtection="1">
      <alignment horizontal="center" vertical="center"/>
    </xf>
    <xf numFmtId="9" fontId="16" fillId="0" borderId="2" xfId="0" applyNumberFormat="1" applyFont="1" applyBorder="1" applyAlignment="1" applyProtection="1">
      <alignment horizontal="center" vertical="center"/>
    </xf>
    <xf numFmtId="2" fontId="16" fillId="0" borderId="69" xfId="0" applyNumberFormat="1" applyFont="1" applyBorder="1" applyAlignment="1" applyProtection="1">
      <alignment horizontal="center" vertical="center"/>
    </xf>
    <xf numFmtId="9" fontId="16" fillId="0" borderId="29" xfId="0" applyNumberFormat="1" applyFont="1" applyBorder="1" applyAlignment="1" applyProtection="1">
      <alignment horizontal="center" vertical="center"/>
    </xf>
    <xf numFmtId="2" fontId="9" fillId="0" borderId="51" xfId="0" applyNumberFormat="1" applyFont="1" applyBorder="1" applyAlignment="1" applyProtection="1">
      <alignment horizontal="center" vertical="center"/>
    </xf>
    <xf numFmtId="2" fontId="9" fillId="0" borderId="85" xfId="0" applyNumberFormat="1" applyFont="1" applyBorder="1" applyAlignment="1" applyProtection="1">
      <alignment horizontal="center" vertical="center"/>
    </xf>
    <xf numFmtId="0" fontId="38" fillId="0" borderId="88" xfId="0" applyFont="1" applyFill="1" applyBorder="1" applyAlignment="1" applyProtection="1">
      <alignment vertical="center" wrapText="1"/>
    </xf>
    <xf numFmtId="0" fontId="16" fillId="0" borderId="74" xfId="0" applyFont="1" applyFill="1" applyBorder="1" applyAlignment="1" applyProtection="1">
      <alignment vertical="center" wrapText="1"/>
    </xf>
    <xf numFmtId="0" fontId="9" fillId="0" borderId="61" xfId="0" applyFont="1" applyFill="1" applyBorder="1" applyAlignment="1" applyProtection="1">
      <alignment vertical="center"/>
    </xf>
    <xf numFmtId="0" fontId="6" fillId="0" borderId="79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2" fontId="16" fillId="8" borderId="6" xfId="0" applyNumberFormat="1" applyFont="1" applyFill="1" applyBorder="1" applyAlignment="1">
      <alignment horizontal="center" vertical="center"/>
    </xf>
    <xf numFmtId="2" fontId="16" fillId="9" borderId="6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2" fontId="17" fillId="0" borderId="6" xfId="0" applyNumberFormat="1" applyFont="1" applyBorder="1" applyAlignment="1">
      <alignment horizontal="center" vertical="center"/>
    </xf>
    <xf numFmtId="2" fontId="16" fillId="10" borderId="6" xfId="0" applyNumberFormat="1" applyFont="1" applyFill="1" applyBorder="1" applyAlignment="1">
      <alignment horizontal="center" vertical="center"/>
    </xf>
    <xf numFmtId="0" fontId="16" fillId="0" borderId="32" xfId="0" applyFont="1" applyBorder="1" applyAlignment="1">
      <alignment vertical="center"/>
    </xf>
    <xf numFmtId="2" fontId="16" fillId="10" borderId="32" xfId="0" applyNumberFormat="1" applyFont="1" applyFill="1" applyBorder="1" applyAlignment="1">
      <alignment horizontal="center" vertical="center"/>
    </xf>
    <xf numFmtId="0" fontId="16" fillId="0" borderId="35" xfId="0" applyFont="1" applyBorder="1" applyAlignment="1">
      <alignment vertical="center"/>
    </xf>
    <xf numFmtId="0" fontId="17" fillId="6" borderId="82" xfId="0" applyFont="1" applyFill="1" applyBorder="1" applyAlignment="1" applyProtection="1">
      <alignment horizontal="center" vertical="center"/>
    </xf>
    <xf numFmtId="2" fontId="16" fillId="6" borderId="38" xfId="0" applyNumberFormat="1" applyFont="1" applyFill="1" applyBorder="1" applyAlignment="1" applyProtection="1">
      <alignment horizontal="center" vertical="center" wrapText="1"/>
    </xf>
    <xf numFmtId="2" fontId="16" fillId="6" borderId="50" xfId="0" applyNumberFormat="1" applyFont="1" applyFill="1" applyBorder="1" applyAlignment="1" applyProtection="1">
      <alignment horizontal="center" vertical="center" wrapText="1"/>
    </xf>
    <xf numFmtId="0" fontId="40" fillId="6" borderId="82" xfId="0" applyFont="1" applyFill="1" applyBorder="1" applyAlignment="1" applyProtection="1">
      <alignment horizontal="center" vertical="center"/>
    </xf>
    <xf numFmtId="2" fontId="25" fillId="6" borderId="38" xfId="0" applyNumberFormat="1" applyFont="1" applyFill="1" applyBorder="1" applyAlignment="1" applyProtection="1">
      <alignment horizontal="center" vertical="center" wrapText="1"/>
    </xf>
    <xf numFmtId="2" fontId="25" fillId="6" borderId="50" xfId="0" applyNumberFormat="1" applyFont="1" applyFill="1" applyBorder="1" applyAlignment="1" applyProtection="1">
      <alignment horizontal="center" vertical="center" wrapText="1"/>
    </xf>
    <xf numFmtId="0" fontId="17" fillId="6" borderId="82" xfId="0" applyFont="1" applyFill="1" applyBorder="1" applyAlignment="1" applyProtection="1">
      <alignment horizontal="center" vertical="center" wrapText="1"/>
    </xf>
    <xf numFmtId="2" fontId="33" fillId="6" borderId="50" xfId="0" applyNumberFormat="1" applyFont="1" applyFill="1" applyBorder="1" applyAlignment="1" applyProtection="1">
      <alignment horizontal="center" vertical="center"/>
    </xf>
    <xf numFmtId="0" fontId="16" fillId="7" borderId="77" xfId="0" applyFont="1" applyFill="1" applyBorder="1" applyAlignment="1" applyProtection="1">
      <alignment horizontal="center" vertical="center"/>
      <protection locked="0"/>
    </xf>
    <xf numFmtId="0" fontId="16" fillId="7" borderId="21" xfId="0" applyFont="1" applyFill="1" applyBorder="1" applyAlignment="1" applyProtection="1">
      <alignment horizontal="center" vertical="center"/>
      <protection locked="0"/>
    </xf>
    <xf numFmtId="0" fontId="16" fillId="7" borderId="20" xfId="0" applyFont="1" applyFill="1" applyBorder="1" applyAlignment="1" applyProtection="1">
      <alignment horizontal="center" vertical="center"/>
      <protection locked="0"/>
    </xf>
    <xf numFmtId="0" fontId="16" fillId="7" borderId="5" xfId="0" applyFont="1" applyFill="1" applyBorder="1" applyAlignment="1" applyProtection="1">
      <alignment horizontal="center" vertical="center"/>
      <protection locked="0"/>
    </xf>
    <xf numFmtId="0" fontId="16" fillId="7" borderId="1" xfId="0" applyFont="1" applyFill="1" applyBorder="1" applyAlignment="1" applyProtection="1">
      <alignment horizontal="center" vertical="center"/>
      <protection locked="0"/>
    </xf>
    <xf numFmtId="0" fontId="16" fillId="7" borderId="30" xfId="0" applyFont="1" applyFill="1" applyBorder="1" applyAlignment="1" applyProtection="1">
      <alignment horizontal="center" vertical="center"/>
      <protection locked="0"/>
    </xf>
    <xf numFmtId="0" fontId="16" fillId="7" borderId="83" xfId="0" applyFont="1" applyFill="1" applyBorder="1" applyAlignment="1" applyProtection="1">
      <alignment horizontal="center" vertical="center" wrapText="1"/>
      <protection locked="0"/>
    </xf>
    <xf numFmtId="0" fontId="16" fillId="7" borderId="42" xfId="0" applyFont="1" applyFill="1" applyBorder="1" applyAlignment="1" applyProtection="1">
      <alignment horizontal="center" vertical="center"/>
      <protection locked="0"/>
    </xf>
    <xf numFmtId="0" fontId="16" fillId="7" borderId="0" xfId="0" applyFont="1" applyFill="1" applyBorder="1" applyAlignment="1" applyProtection="1">
      <alignment horizontal="center" vertical="center"/>
      <protection locked="0"/>
    </xf>
    <xf numFmtId="0" fontId="16" fillId="7" borderId="43" xfId="0" applyFont="1" applyFill="1" applyBorder="1" applyAlignment="1" applyProtection="1">
      <alignment horizontal="center" vertical="center"/>
      <protection locked="0"/>
    </xf>
    <xf numFmtId="0" fontId="16" fillId="7" borderId="22" xfId="0" applyFont="1" applyFill="1" applyBorder="1" applyAlignment="1" applyProtection="1">
      <alignment horizontal="center" vertical="center"/>
      <protection locked="0"/>
    </xf>
    <xf numFmtId="0" fontId="16" fillId="7" borderId="44" xfId="0" applyFont="1" applyFill="1" applyBorder="1" applyAlignment="1" applyProtection="1">
      <alignment horizontal="center" vertical="center"/>
      <protection locked="0"/>
    </xf>
    <xf numFmtId="0" fontId="16" fillId="7" borderId="8" xfId="0" applyFont="1" applyFill="1" applyBorder="1" applyAlignment="1" applyProtection="1">
      <alignment horizontal="center" vertical="center"/>
      <protection locked="0"/>
    </xf>
    <xf numFmtId="0" fontId="16" fillId="7" borderId="86" xfId="0" applyFont="1" applyFill="1" applyBorder="1" applyAlignment="1" applyProtection="1">
      <alignment horizontal="center" vertical="center"/>
      <protection locked="0"/>
    </xf>
    <xf numFmtId="0" fontId="17" fillId="0" borderId="70" xfId="0" applyFont="1" applyFill="1" applyBorder="1" applyAlignment="1" applyProtection="1">
      <alignment horizontal="center" vertical="center" wrapText="1"/>
    </xf>
    <xf numFmtId="0" fontId="17" fillId="0" borderId="83" xfId="0" applyFont="1" applyFill="1" applyBorder="1" applyAlignment="1" applyProtection="1">
      <alignment horizontal="center" vertical="center" wrapText="1"/>
    </xf>
    <xf numFmtId="164" fontId="9" fillId="7" borderId="28" xfId="0" applyNumberFormat="1" applyFont="1" applyFill="1" applyBorder="1" applyAlignment="1" applyProtection="1">
      <alignment horizontal="center" vertical="center"/>
      <protection locked="0"/>
    </xf>
    <xf numFmtId="0" fontId="16" fillId="6" borderId="26" xfId="0" applyFont="1" applyFill="1" applyBorder="1" applyAlignment="1" applyProtection="1">
      <alignment horizontal="center" vertical="center"/>
    </xf>
    <xf numFmtId="0" fontId="16" fillId="6" borderId="36" xfId="0" applyFont="1" applyFill="1" applyBorder="1" applyAlignment="1" applyProtection="1">
      <alignment horizontal="left" vertical="center" wrapText="1"/>
    </xf>
    <xf numFmtId="9" fontId="16" fillId="6" borderId="29" xfId="0" applyNumberFormat="1" applyFont="1" applyFill="1" applyBorder="1" applyAlignment="1" applyProtection="1">
      <alignment horizontal="center" vertical="center" wrapText="1"/>
    </xf>
    <xf numFmtId="0" fontId="16" fillId="7" borderId="6" xfId="0" applyFont="1" applyFill="1" applyBorder="1" applyAlignment="1" applyProtection="1">
      <alignment horizontal="center" vertical="center"/>
      <protection locked="0"/>
    </xf>
    <xf numFmtId="9" fontId="16" fillId="0" borderId="27" xfId="0" applyNumberFormat="1" applyFont="1" applyFill="1" applyBorder="1" applyAlignment="1" applyProtection="1">
      <alignment horizontal="center" vertical="center"/>
    </xf>
    <xf numFmtId="0" fontId="16" fillId="7" borderId="32" xfId="0" applyFont="1" applyFill="1" applyBorder="1" applyAlignment="1" applyProtection="1">
      <alignment horizontal="center" vertical="center"/>
      <protection locked="0"/>
    </xf>
    <xf numFmtId="0" fontId="16" fillId="6" borderId="29" xfId="0" applyFont="1" applyFill="1" applyBorder="1" applyAlignment="1" applyProtection="1">
      <alignment vertical="center"/>
    </xf>
    <xf numFmtId="0" fontId="16" fillId="6" borderId="37" xfId="0" applyFont="1" applyFill="1" applyBorder="1" applyAlignment="1" applyProtection="1">
      <alignment vertical="center"/>
    </xf>
    <xf numFmtId="0" fontId="17" fillId="6" borderId="88" xfId="0" applyFont="1" applyFill="1" applyBorder="1" applyAlignment="1" applyProtection="1">
      <alignment vertical="center" wrapText="1"/>
    </xf>
    <xf numFmtId="0" fontId="17" fillId="6" borderId="74" xfId="0" applyFont="1" applyFill="1" applyBorder="1" applyAlignment="1" applyProtection="1">
      <alignment vertical="center" wrapText="1"/>
    </xf>
    <xf numFmtId="0" fontId="40" fillId="6" borderId="75" xfId="0" applyFont="1" applyFill="1" applyBorder="1" applyAlignment="1" applyProtection="1">
      <alignment vertical="center" wrapText="1"/>
    </xf>
    <xf numFmtId="2" fontId="9" fillId="6" borderId="62" xfId="0" applyNumberFormat="1" applyFont="1" applyFill="1" applyBorder="1" applyAlignment="1" applyProtection="1">
      <alignment horizontal="center" vertical="center"/>
    </xf>
    <xf numFmtId="2" fontId="9" fillId="6" borderId="63" xfId="0" applyNumberFormat="1" applyFont="1" applyFill="1" applyBorder="1" applyAlignment="1" applyProtection="1">
      <alignment horizontal="center" vertical="center"/>
    </xf>
    <xf numFmtId="2" fontId="17" fillId="6" borderId="29" xfId="0" applyNumberFormat="1" applyFont="1" applyFill="1" applyBorder="1" applyAlignment="1" applyProtection="1">
      <alignment horizontal="center" vertical="center"/>
    </xf>
    <xf numFmtId="0" fontId="40" fillId="6" borderId="74" xfId="0" applyFont="1" applyFill="1" applyBorder="1" applyAlignment="1" applyProtection="1">
      <alignment vertical="center" wrapText="1"/>
    </xf>
    <xf numFmtId="0" fontId="16" fillId="7" borderId="2" xfId="0" applyFont="1" applyFill="1" applyBorder="1" applyAlignment="1" applyProtection="1">
      <alignment horizontal="center" vertical="center"/>
      <protection locked="0"/>
    </xf>
    <xf numFmtId="0" fontId="9" fillId="7" borderId="29" xfId="0" applyFont="1" applyFill="1" applyBorder="1" applyAlignment="1" applyProtection="1">
      <alignment horizontal="center" vertical="center"/>
      <protection locked="0"/>
    </xf>
    <xf numFmtId="0" fontId="9" fillId="7" borderId="6" xfId="0" applyFont="1" applyFill="1" applyBorder="1" applyAlignment="1" applyProtection="1">
      <alignment horizontal="center" vertical="center"/>
      <protection locked="0"/>
    </xf>
    <xf numFmtId="0" fontId="9" fillId="7" borderId="2" xfId="0" applyFont="1" applyFill="1" applyBorder="1" applyAlignment="1" applyProtection="1">
      <alignment horizontal="center" vertical="center"/>
      <protection locked="0"/>
    </xf>
    <xf numFmtId="0" fontId="9" fillId="7" borderId="26" xfId="0" applyFont="1" applyFill="1" applyBorder="1" applyAlignment="1" applyProtection="1">
      <alignment horizontal="center" vertical="center"/>
      <protection locked="0"/>
    </xf>
    <xf numFmtId="0" fontId="9" fillId="7" borderId="7" xfId="0" applyFont="1" applyFill="1" applyBorder="1" applyAlignment="1" applyProtection="1">
      <alignment horizontal="center" vertical="center"/>
      <protection locked="0"/>
    </xf>
    <xf numFmtId="0" fontId="9" fillId="7" borderId="3" xfId="0" applyFont="1" applyFill="1" applyBorder="1" applyAlignment="1" applyProtection="1">
      <alignment horizontal="center" vertical="center"/>
      <protection locked="0"/>
    </xf>
    <xf numFmtId="0" fontId="17" fillId="6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15" fillId="6" borderId="6" xfId="0" applyFont="1" applyFill="1" applyBorder="1" applyAlignment="1" applyProtection="1">
      <alignment vertical="center"/>
    </xf>
    <xf numFmtId="0" fontId="6" fillId="6" borderId="79" xfId="0" applyFont="1" applyFill="1" applyBorder="1" applyAlignment="1" applyProtection="1">
      <alignment vertical="center"/>
    </xf>
    <xf numFmtId="0" fontId="15" fillId="6" borderId="80" xfId="0" applyFont="1" applyFill="1" applyBorder="1" applyAlignment="1" applyProtection="1">
      <alignment vertical="center"/>
    </xf>
    <xf numFmtId="0" fontId="15" fillId="6" borderId="81" xfId="0" applyFont="1" applyFill="1" applyBorder="1" applyAlignment="1" applyProtection="1">
      <alignment vertical="center"/>
    </xf>
    <xf numFmtId="0" fontId="15" fillId="6" borderId="7" xfId="0" applyFont="1" applyFill="1" applyBorder="1" applyAlignment="1" applyProtection="1">
      <alignment vertical="center"/>
    </xf>
    <xf numFmtId="0" fontId="15" fillId="6" borderId="5" xfId="0" applyFont="1" applyFill="1" applyBorder="1" applyAlignment="1" applyProtection="1">
      <alignment vertical="center"/>
    </xf>
    <xf numFmtId="0" fontId="6" fillId="6" borderId="3" xfId="0" applyFont="1" applyFill="1" applyBorder="1" applyAlignment="1" applyProtection="1">
      <alignment vertical="center"/>
    </xf>
    <xf numFmtId="164" fontId="6" fillId="6" borderId="2" xfId="0" applyNumberFormat="1" applyFont="1" applyFill="1" applyBorder="1" applyAlignment="1" applyProtection="1">
      <alignment horizontal="center" vertical="center"/>
    </xf>
    <xf numFmtId="2" fontId="6" fillId="6" borderId="2" xfId="0" applyNumberFormat="1" applyFont="1" applyFill="1" applyBorder="1" applyAlignment="1" applyProtection="1">
      <alignment horizontal="center" vertical="center"/>
    </xf>
    <xf numFmtId="0" fontId="15" fillId="6" borderId="2" xfId="0" applyFont="1" applyFill="1" applyBorder="1" applyAlignment="1" applyProtection="1">
      <alignment vertical="center"/>
    </xf>
    <xf numFmtId="2" fontId="15" fillId="6" borderId="6" xfId="0" applyNumberFormat="1" applyFont="1" applyFill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left" vertical="center" wrapText="1"/>
    </xf>
    <xf numFmtId="0" fontId="6" fillId="0" borderId="80" xfId="0" applyFont="1" applyBorder="1" applyAlignment="1" applyProtection="1">
      <alignment vertical="top" wrapText="1"/>
    </xf>
    <xf numFmtId="2" fontId="15" fillId="0" borderId="6" xfId="0" applyNumberFormat="1" applyFont="1" applyBorder="1" applyAlignment="1" applyProtection="1">
      <alignment horizontal="center" vertical="center"/>
    </xf>
    <xf numFmtId="0" fontId="15" fillId="6" borderId="5" xfId="0" applyFont="1" applyFill="1" applyBorder="1" applyAlignment="1" applyProtection="1">
      <alignment horizontal="left" vertical="center"/>
    </xf>
    <xf numFmtId="0" fontId="15" fillId="6" borderId="1" xfId="0" applyFont="1" applyFill="1" applyBorder="1" applyAlignment="1" applyProtection="1">
      <alignment vertical="center"/>
    </xf>
    <xf numFmtId="0" fontId="15" fillId="0" borderId="5" xfId="0" applyFont="1" applyFill="1" applyBorder="1" applyAlignment="1" applyProtection="1">
      <alignment vertical="center"/>
    </xf>
    <xf numFmtId="164" fontId="15" fillId="7" borderId="6" xfId="0" applyNumberFormat="1" applyFont="1" applyFill="1" applyBorder="1" applyAlignment="1" applyProtection="1">
      <alignment horizontal="center" vertical="center"/>
      <protection locked="0"/>
    </xf>
    <xf numFmtId="0" fontId="15" fillId="7" borderId="2" xfId="0" applyFont="1" applyFill="1" applyBorder="1" applyAlignment="1" applyProtection="1">
      <alignment horizontal="center" vertical="center"/>
      <protection locked="0"/>
    </xf>
    <xf numFmtId="0" fontId="25" fillId="0" borderId="87" xfId="0" applyFont="1" applyFill="1" applyBorder="1" applyAlignment="1" applyProtection="1">
      <alignment vertical="center" wrapText="1"/>
    </xf>
    <xf numFmtId="164" fontId="25" fillId="0" borderId="61" xfId="0" applyNumberFormat="1" applyFont="1" applyFill="1" applyBorder="1" applyAlignment="1" applyProtection="1">
      <alignment horizontal="center" vertical="center" wrapText="1"/>
    </xf>
    <xf numFmtId="2" fontId="25" fillId="0" borderId="62" xfId="0" applyNumberFormat="1" applyFont="1" applyFill="1" applyBorder="1" applyAlignment="1" applyProtection="1">
      <alignment horizontal="center" vertical="center" wrapText="1"/>
    </xf>
    <xf numFmtId="164" fontId="25" fillId="0" borderId="62" xfId="0" applyNumberFormat="1" applyFont="1" applyFill="1" applyBorder="1" applyAlignment="1" applyProtection="1">
      <alignment horizontal="center" vertical="center" wrapText="1"/>
    </xf>
    <xf numFmtId="0" fontId="25" fillId="0" borderId="62" xfId="0" applyFont="1" applyFill="1" applyBorder="1" applyAlignment="1" applyProtection="1">
      <alignment horizontal="center" vertical="center" wrapText="1"/>
    </xf>
    <xf numFmtId="0" fontId="25" fillId="0" borderId="63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/>
    </xf>
    <xf numFmtId="2" fontId="6" fillId="6" borderId="0" xfId="0" applyNumberFormat="1" applyFont="1" applyFill="1" applyBorder="1" applyAlignment="1" applyProtection="1">
      <alignment horizontal="center" vertical="center"/>
    </xf>
    <xf numFmtId="0" fontId="15" fillId="6" borderId="0" xfId="0" applyFont="1" applyFill="1" applyBorder="1" applyAlignment="1" applyProtection="1">
      <alignment horizontal="center" vertical="center"/>
    </xf>
    <xf numFmtId="2" fontId="15" fillId="6" borderId="0" xfId="0" applyNumberFormat="1" applyFont="1" applyFill="1" applyBorder="1" applyAlignment="1" applyProtection="1">
      <alignment horizontal="center" vertical="center"/>
    </xf>
    <xf numFmtId="0" fontId="15" fillId="6" borderId="0" xfId="0" applyFont="1" applyFill="1" applyBorder="1" applyAlignment="1" applyProtection="1">
      <alignment horizontal="left" vertical="center" indent="1"/>
    </xf>
    <xf numFmtId="0" fontId="16" fillId="6" borderId="0" xfId="0" applyFont="1" applyFill="1" applyBorder="1" applyAlignment="1" applyProtection="1"/>
    <xf numFmtId="0" fontId="15" fillId="6" borderId="0" xfId="0" applyFont="1" applyFill="1" applyBorder="1" applyAlignment="1" applyProtection="1">
      <alignment horizontal="left" vertical="center" indent="2"/>
    </xf>
    <xf numFmtId="0" fontId="3" fillId="0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70" xfId="0" applyBorder="1" applyAlignment="1">
      <alignment horizontal="left"/>
    </xf>
    <xf numFmtId="0" fontId="15" fillId="6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68" fillId="0" borderId="6" xfId="0" applyFont="1" applyBorder="1" applyAlignment="1">
      <alignment horizontal="center" vertical="center"/>
    </xf>
    <xf numFmtId="0" fontId="60" fillId="6" borderId="50" xfId="0" applyFont="1" applyFill="1" applyBorder="1" applyAlignment="1" applyProtection="1">
      <alignment horizontal="center" vertical="center" wrapText="1"/>
    </xf>
    <xf numFmtId="0" fontId="60" fillId="6" borderId="2" xfId="0" applyFont="1" applyFill="1" applyBorder="1" applyAlignment="1" applyProtection="1">
      <alignment horizontal="center" vertical="center" wrapText="1"/>
    </xf>
    <xf numFmtId="0" fontId="60" fillId="6" borderId="1" xfId="0" applyFont="1" applyFill="1" applyBorder="1" applyAlignment="1" applyProtection="1">
      <alignment horizontal="center" vertical="center" wrapText="1"/>
    </xf>
    <xf numFmtId="0" fontId="60" fillId="0" borderId="87" xfId="0" applyFont="1" applyFill="1" applyBorder="1" applyAlignment="1" applyProtection="1">
      <alignment vertical="center" wrapText="1"/>
    </xf>
    <xf numFmtId="164" fontId="60" fillId="0" borderId="61" xfId="0" applyNumberFormat="1" applyFont="1" applyFill="1" applyBorder="1" applyAlignment="1" applyProtection="1">
      <alignment horizontal="center" vertical="center" wrapText="1"/>
    </xf>
    <xf numFmtId="2" fontId="60" fillId="0" borderId="62" xfId="0" applyNumberFormat="1" applyFont="1" applyFill="1" applyBorder="1" applyAlignment="1" applyProtection="1">
      <alignment horizontal="center" vertical="center" wrapText="1"/>
    </xf>
    <xf numFmtId="164" fontId="60" fillId="0" borderId="62" xfId="0" applyNumberFormat="1" applyFont="1" applyFill="1" applyBorder="1" applyAlignment="1" applyProtection="1">
      <alignment horizontal="center" vertical="center" wrapText="1"/>
    </xf>
    <xf numFmtId="0" fontId="60" fillId="0" borderId="62" xfId="0" applyFont="1" applyFill="1" applyBorder="1" applyAlignment="1" applyProtection="1">
      <alignment horizontal="center" vertical="center" wrapText="1"/>
    </xf>
    <xf numFmtId="0" fontId="60" fillId="0" borderId="63" xfId="0" applyFont="1" applyFill="1" applyBorder="1" applyAlignment="1" applyProtection="1">
      <alignment horizontal="center" vertical="center" wrapText="1"/>
    </xf>
    <xf numFmtId="164" fontId="16" fillId="6" borderId="29" xfId="0" applyNumberFormat="1" applyFont="1" applyFill="1" applyBorder="1" applyAlignment="1" applyProtection="1">
      <alignment horizontal="center" vertical="center" wrapText="1"/>
    </xf>
    <xf numFmtId="164" fontId="16" fillId="6" borderId="6" xfId="0" applyNumberFormat="1" applyFont="1" applyFill="1" applyBorder="1" applyAlignment="1" applyProtection="1">
      <alignment horizontal="center" vertical="center" wrapText="1"/>
    </xf>
    <xf numFmtId="164" fontId="16" fillId="6" borderId="2" xfId="0" applyNumberFormat="1" applyFont="1" applyFill="1" applyBorder="1" applyAlignment="1" applyProtection="1">
      <alignment horizontal="center" vertical="center" wrapText="1"/>
    </xf>
    <xf numFmtId="2" fontId="16" fillId="6" borderId="29" xfId="0" applyNumberFormat="1" applyFont="1" applyFill="1" applyBorder="1" applyAlignment="1" applyProtection="1">
      <alignment horizontal="center" vertical="center" wrapText="1"/>
    </xf>
    <xf numFmtId="2" fontId="16" fillId="6" borderId="6" xfId="0" applyNumberFormat="1" applyFont="1" applyFill="1" applyBorder="1" applyAlignment="1" applyProtection="1">
      <alignment horizontal="center" vertical="center" wrapText="1"/>
    </xf>
    <xf numFmtId="2" fontId="16" fillId="6" borderId="2" xfId="0" applyNumberFormat="1" applyFont="1" applyFill="1" applyBorder="1" applyAlignment="1" applyProtection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2" fontId="68" fillId="0" borderId="6" xfId="0" applyNumberFormat="1" applyFont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2" fontId="9" fillId="0" borderId="72" xfId="0" applyNumberFormat="1" applyFont="1" applyBorder="1" applyAlignment="1" applyProtection="1">
      <alignment horizontal="center" vertical="center"/>
    </xf>
    <xf numFmtId="2" fontId="17" fillId="6" borderId="62" xfId="0" applyNumberFormat="1" applyFont="1" applyFill="1" applyBorder="1" applyAlignment="1" applyProtection="1">
      <alignment horizontal="center" vertical="center"/>
    </xf>
    <xf numFmtId="2" fontId="17" fillId="6" borderId="56" xfId="0" applyNumberFormat="1" applyFont="1" applyFill="1" applyBorder="1" applyAlignment="1" applyProtection="1">
      <alignment horizontal="center" vertical="center"/>
    </xf>
    <xf numFmtId="2" fontId="16" fillId="6" borderId="39" xfId="0" applyNumberFormat="1" applyFont="1" applyFill="1" applyBorder="1" applyAlignment="1" applyProtection="1">
      <alignment horizontal="center" vertical="center"/>
    </xf>
    <xf numFmtId="2" fontId="17" fillId="6" borderId="50" xfId="0" applyNumberFormat="1" applyFont="1" applyFill="1" applyBorder="1" applyAlignment="1" applyProtection="1">
      <alignment horizontal="center" vertical="center"/>
    </xf>
    <xf numFmtId="2" fontId="16" fillId="6" borderId="32" xfId="0" applyNumberFormat="1" applyFont="1" applyFill="1" applyBorder="1" applyAlignment="1" applyProtection="1">
      <alignment horizontal="center" vertical="center"/>
    </xf>
    <xf numFmtId="2" fontId="16" fillId="6" borderId="6" xfId="0" applyNumberFormat="1" applyFont="1" applyFill="1" applyBorder="1" applyAlignment="1" applyProtection="1">
      <alignment horizontal="center" vertical="center"/>
    </xf>
    <xf numFmtId="2" fontId="17" fillId="6" borderId="2" xfId="0" applyNumberFormat="1" applyFont="1" applyFill="1" applyBorder="1" applyAlignment="1" applyProtection="1">
      <alignment horizontal="center" vertical="center"/>
    </xf>
    <xf numFmtId="2" fontId="16" fillId="6" borderId="6" xfId="0" applyNumberFormat="1" applyFont="1" applyFill="1" applyBorder="1" applyAlignment="1" applyProtection="1">
      <alignment vertical="center"/>
    </xf>
    <xf numFmtId="2" fontId="11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2" fontId="46" fillId="11" borderId="6" xfId="31" applyNumberFormat="1" applyFont="1" applyBorder="1" applyAlignment="1">
      <alignment horizontal="center" vertical="center"/>
    </xf>
    <xf numFmtId="0" fontId="15" fillId="6" borderId="80" xfId="0" applyFont="1" applyFill="1" applyBorder="1" applyAlignment="1" applyProtection="1">
      <alignment horizontal="center" vertical="center" wrapText="1"/>
    </xf>
    <xf numFmtId="0" fontId="15" fillId="6" borderId="81" xfId="0" applyFont="1" applyFill="1" applyBorder="1" applyAlignment="1" applyProtection="1">
      <alignment horizontal="center" vertical="center" wrapText="1"/>
    </xf>
    <xf numFmtId="164" fontId="15" fillId="6" borderId="23" xfId="0" applyNumberFormat="1" applyFont="1" applyFill="1" applyBorder="1" applyAlignment="1" applyProtection="1">
      <alignment horizontal="center" vertical="center"/>
    </xf>
    <xf numFmtId="0" fontId="16" fillId="6" borderId="19" xfId="0" applyFont="1" applyFill="1" applyBorder="1" applyAlignment="1" applyProtection="1">
      <alignment vertical="center"/>
    </xf>
    <xf numFmtId="2" fontId="16" fillId="0" borderId="27" xfId="0" applyNumberFormat="1" applyFont="1" applyBorder="1" applyAlignment="1" applyProtection="1">
      <alignment horizontal="center" vertical="center"/>
    </xf>
    <xf numFmtId="2" fontId="16" fillId="0" borderId="40" xfId="0" applyNumberFormat="1" applyFont="1" applyBorder="1" applyAlignment="1" applyProtection="1">
      <alignment horizontal="center" vertical="center"/>
    </xf>
    <xf numFmtId="2" fontId="16" fillId="0" borderId="25" xfId="0" applyNumberFormat="1" applyFont="1" applyBorder="1" applyAlignment="1" applyProtection="1">
      <alignment horizontal="center" vertical="center"/>
    </xf>
    <xf numFmtId="2" fontId="6" fillId="0" borderId="51" xfId="0" applyNumberFormat="1" applyFont="1" applyBorder="1" applyAlignment="1" applyProtection="1">
      <alignment horizontal="center" vertical="center"/>
    </xf>
    <xf numFmtId="2" fontId="6" fillId="0" borderId="33" xfId="0" applyNumberFormat="1" applyFont="1" applyBorder="1" applyAlignment="1" applyProtection="1">
      <alignment horizontal="center" vertical="center"/>
    </xf>
    <xf numFmtId="0" fontId="0" fillId="6" borderId="19" xfId="0" applyFill="1" applyBorder="1" applyAlignment="1">
      <alignment vertical="center"/>
    </xf>
    <xf numFmtId="2" fontId="15" fillId="0" borderId="23" xfId="0" applyNumberFormat="1" applyFont="1" applyBorder="1" applyAlignment="1" applyProtection="1">
      <alignment horizontal="center" vertical="center"/>
    </xf>
    <xf numFmtId="2" fontId="33" fillId="0" borderId="45" xfId="0" applyNumberFormat="1" applyFont="1" applyFill="1" applyBorder="1" applyAlignment="1" applyProtection="1">
      <alignment horizontal="center" vertical="center"/>
    </xf>
    <xf numFmtId="2" fontId="6" fillId="0" borderId="45" xfId="0" applyNumberFormat="1" applyFont="1" applyBorder="1" applyAlignment="1" applyProtection="1">
      <alignment horizontal="center" vertical="center"/>
    </xf>
    <xf numFmtId="0" fontId="6" fillId="6" borderId="0" xfId="0" applyFont="1" applyFill="1" applyBorder="1" applyAlignment="1" applyProtection="1">
      <alignment horizontal="left" vertical="center" wrapText="1"/>
    </xf>
    <xf numFmtId="164" fontId="6" fillId="6" borderId="0" xfId="0" applyNumberFormat="1" applyFont="1" applyFill="1" applyBorder="1" applyAlignment="1" applyProtection="1">
      <alignment horizontal="center" vertical="center"/>
    </xf>
    <xf numFmtId="0" fontId="0" fillId="6" borderId="19" xfId="0" applyFill="1" applyBorder="1" applyAlignment="1" applyProtection="1">
      <alignment vertical="center"/>
    </xf>
    <xf numFmtId="2" fontId="17" fillId="0" borderId="51" xfId="0" applyNumberFormat="1" applyFont="1" applyBorder="1" applyAlignment="1" applyProtection="1">
      <alignment horizontal="center" vertical="center"/>
    </xf>
    <xf numFmtId="164" fontId="6" fillId="6" borderId="45" xfId="0" applyNumberFormat="1" applyFont="1" applyFill="1" applyBorder="1" applyAlignment="1" applyProtection="1">
      <alignment horizontal="center" vertical="center"/>
    </xf>
    <xf numFmtId="2" fontId="16" fillId="6" borderId="83" xfId="0" applyNumberFormat="1" applyFont="1" applyFill="1" applyBorder="1" applyAlignment="1" applyProtection="1">
      <alignment vertical="center"/>
    </xf>
    <xf numFmtId="2" fontId="15" fillId="0" borderId="27" xfId="0" applyNumberFormat="1" applyFont="1" applyBorder="1" applyAlignment="1" applyProtection="1">
      <alignment horizontal="center" vertical="center"/>
    </xf>
    <xf numFmtId="2" fontId="33" fillId="0" borderId="33" xfId="0" applyNumberFormat="1" applyFont="1" applyFill="1" applyBorder="1" applyAlignment="1" applyProtection="1">
      <alignment horizontal="center" vertical="center"/>
    </xf>
    <xf numFmtId="0" fontId="71" fillId="6" borderId="0" xfId="0" applyFont="1" applyFill="1" applyBorder="1" applyAlignment="1" applyProtection="1">
      <alignment vertical="center"/>
    </xf>
    <xf numFmtId="2" fontId="6" fillId="6" borderId="33" xfId="0" applyNumberFormat="1" applyFont="1" applyFill="1" applyBorder="1" applyAlignment="1" applyProtection="1">
      <alignment horizontal="center" vertical="center"/>
    </xf>
    <xf numFmtId="2" fontId="15" fillId="6" borderId="23" xfId="0" applyNumberFormat="1" applyFont="1" applyFill="1" applyBorder="1" applyAlignment="1" applyProtection="1">
      <alignment horizontal="center" vertical="center"/>
    </xf>
    <xf numFmtId="164" fontId="46" fillId="0" borderId="6" xfId="0" applyNumberFormat="1" applyFont="1" applyBorder="1" applyAlignment="1" applyProtection="1">
      <alignment horizontal="center" vertical="center"/>
    </xf>
    <xf numFmtId="2" fontId="16" fillId="11" borderId="6" xfId="31" applyNumberFormat="1" applyFont="1" applyBorder="1" applyAlignment="1">
      <alignment horizontal="center" vertical="center"/>
    </xf>
    <xf numFmtId="2" fontId="11" fillId="6" borderId="0" xfId="0" applyNumberFormat="1" applyFont="1" applyFill="1" applyBorder="1" applyAlignment="1">
      <alignment vertical="center"/>
    </xf>
    <xf numFmtId="2" fontId="17" fillId="6" borderId="61" xfId="0" applyNumberFormat="1" applyFont="1" applyFill="1" applyBorder="1" applyAlignment="1" applyProtection="1">
      <alignment horizontal="center" vertical="center"/>
    </xf>
    <xf numFmtId="2" fontId="17" fillId="6" borderId="63" xfId="0" applyNumberFormat="1" applyFont="1" applyFill="1" applyBorder="1" applyAlignment="1" applyProtection="1">
      <alignment horizontal="center" vertical="center"/>
    </xf>
    <xf numFmtId="2" fontId="17" fillId="6" borderId="79" xfId="0" applyNumberFormat="1" applyFont="1" applyFill="1" applyBorder="1" applyAlignment="1" applyProtection="1">
      <alignment horizontal="center" vertical="center"/>
    </xf>
    <xf numFmtId="2" fontId="17" fillId="6" borderId="30" xfId="0" applyNumberFormat="1" applyFont="1" applyFill="1" applyBorder="1" applyAlignment="1" applyProtection="1">
      <alignment horizontal="center" vertical="center"/>
    </xf>
    <xf numFmtId="2" fontId="16" fillId="6" borderId="34" xfId="0" applyNumberFormat="1" applyFont="1" applyFill="1" applyBorder="1" applyAlignment="1" applyProtection="1">
      <alignment horizontal="center" vertical="center"/>
    </xf>
    <xf numFmtId="2" fontId="16" fillId="6" borderId="35" xfId="0" applyNumberFormat="1" applyFont="1" applyFill="1" applyBorder="1" applyAlignment="1" applyProtection="1">
      <alignment horizontal="center" vertical="center"/>
    </xf>
    <xf numFmtId="2" fontId="17" fillId="6" borderId="3" xfId="0" applyNumberFormat="1" applyFont="1" applyFill="1" applyBorder="1" applyAlignment="1" applyProtection="1">
      <alignment horizontal="center" vertical="center"/>
    </xf>
    <xf numFmtId="2" fontId="17" fillId="6" borderId="1" xfId="0" applyNumberFormat="1" applyFont="1" applyFill="1" applyBorder="1" applyAlignment="1" applyProtection="1">
      <alignment horizontal="center" vertical="center"/>
    </xf>
    <xf numFmtId="2" fontId="17" fillId="6" borderId="26" xfId="0" applyNumberFormat="1" applyFont="1" applyFill="1" applyBorder="1" applyAlignment="1" applyProtection="1">
      <alignment horizontal="center" vertical="center"/>
    </xf>
    <xf numFmtId="2" fontId="16" fillId="6" borderId="7" xfId="0" applyNumberFormat="1" applyFont="1" applyFill="1" applyBorder="1" applyAlignment="1" applyProtection="1">
      <alignment horizontal="center" vertical="center"/>
    </xf>
    <xf numFmtId="2" fontId="16" fillId="6" borderId="5" xfId="0" applyNumberFormat="1" applyFont="1" applyFill="1" applyBorder="1" applyAlignment="1" applyProtection="1">
      <alignment vertical="center"/>
    </xf>
    <xf numFmtId="0" fontId="15" fillId="6" borderId="5" xfId="0" applyFont="1" applyFill="1" applyBorder="1" applyAlignment="1" applyProtection="1">
      <alignment horizontal="center" vertical="center"/>
    </xf>
    <xf numFmtId="2" fontId="9" fillId="12" borderId="2" xfId="0" applyNumberFormat="1" applyFont="1" applyFill="1" applyBorder="1" applyAlignment="1">
      <alignment horizontal="center" vertical="center"/>
    </xf>
    <xf numFmtId="0" fontId="16" fillId="6" borderId="7" xfId="0" applyFont="1" applyFill="1" applyBorder="1" applyAlignment="1" applyProtection="1">
      <alignment horizontal="center" vertical="center"/>
    </xf>
    <xf numFmtId="0" fontId="16" fillId="6" borderId="3" xfId="0" applyFont="1" applyFill="1" applyBorder="1" applyAlignment="1" applyProtection="1">
      <alignment horizontal="center" vertical="center"/>
    </xf>
    <xf numFmtId="2" fontId="16" fillId="0" borderId="23" xfId="0" applyNumberFormat="1" applyFont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vertical="center"/>
    </xf>
    <xf numFmtId="0" fontId="16" fillId="0" borderId="81" xfId="0" applyFont="1" applyFill="1" applyBorder="1" applyAlignment="1" applyProtection="1">
      <alignment vertical="center" wrapText="1"/>
    </xf>
    <xf numFmtId="0" fontId="16" fillId="6" borderId="5" xfId="0" applyFont="1" applyFill="1" applyBorder="1" applyAlignment="1" applyProtection="1">
      <alignment vertical="center"/>
    </xf>
    <xf numFmtId="0" fontId="16" fillId="6" borderId="0" xfId="0" applyFont="1" applyFill="1" applyBorder="1" applyAlignment="1" applyProtection="1">
      <alignment horizontal="center" vertical="center"/>
    </xf>
    <xf numFmtId="0" fontId="16" fillId="6" borderId="56" xfId="0" applyFont="1" applyFill="1" applyBorder="1" applyAlignment="1" applyProtection="1">
      <alignment horizontal="left" vertical="center" wrapText="1"/>
    </xf>
    <xf numFmtId="0" fontId="17" fillId="6" borderId="80" xfId="0" applyFont="1" applyFill="1" applyBorder="1" applyAlignment="1" applyProtection="1">
      <alignment horizontal="center" vertical="center" wrapText="1"/>
    </xf>
    <xf numFmtId="0" fontId="40" fillId="6" borderId="80" xfId="0" applyFont="1" applyFill="1" applyBorder="1" applyAlignment="1" applyProtection="1">
      <alignment horizontal="center" vertical="center" wrapText="1"/>
    </xf>
    <xf numFmtId="0" fontId="40" fillId="6" borderId="81" xfId="0" applyFont="1" applyFill="1" applyBorder="1" applyAlignment="1" applyProtection="1">
      <alignment horizontal="center" vertical="center" wrapText="1"/>
    </xf>
    <xf numFmtId="0" fontId="17" fillId="0" borderId="80" xfId="0" applyFont="1" applyBorder="1" applyAlignment="1" applyProtection="1">
      <alignment horizontal="center" vertical="center"/>
    </xf>
    <xf numFmtId="0" fontId="25" fillId="6" borderId="8" xfId="0" applyFont="1" applyFill="1" applyBorder="1" applyAlignment="1" applyProtection="1">
      <alignment vertical="center" wrapText="1"/>
    </xf>
    <xf numFmtId="0" fontId="25" fillId="6" borderId="6" xfId="0" applyFont="1" applyFill="1" applyBorder="1" applyAlignment="1" applyProtection="1">
      <alignment horizontal="center" vertical="center" wrapText="1"/>
    </xf>
    <xf numFmtId="0" fontId="40" fillId="6" borderId="83" xfId="0" applyFont="1" applyFill="1" applyBorder="1" applyAlignment="1" applyProtection="1">
      <alignment horizontal="center" vertical="center" wrapText="1"/>
    </xf>
    <xf numFmtId="0" fontId="15" fillId="6" borderId="7" xfId="0" applyFont="1" applyFill="1" applyBorder="1" applyAlignment="1" applyProtection="1">
      <alignment horizontal="left" vertical="center"/>
    </xf>
    <xf numFmtId="0" fontId="15" fillId="6" borderId="6" xfId="0" applyFont="1" applyFill="1" applyBorder="1" applyAlignment="1" applyProtection="1">
      <alignment horizontal="left" vertical="center"/>
    </xf>
    <xf numFmtId="0" fontId="15" fillId="6" borderId="80" xfId="0" applyFont="1" applyFill="1" applyBorder="1" applyAlignment="1" applyProtection="1">
      <alignment horizontal="center" vertical="center"/>
    </xf>
    <xf numFmtId="0" fontId="25" fillId="6" borderId="5" xfId="0" applyFont="1" applyFill="1" applyBorder="1" applyAlignment="1" applyProtection="1">
      <alignment horizontal="center" vertical="center" wrapText="1"/>
    </xf>
    <xf numFmtId="0" fontId="40" fillId="6" borderId="2" xfId="0" applyFont="1" applyFill="1" applyBorder="1" applyAlignment="1" applyProtection="1">
      <alignment horizontal="center" vertical="center" wrapText="1"/>
    </xf>
    <xf numFmtId="0" fontId="17" fillId="6" borderId="83" xfId="0" applyFont="1" applyFill="1" applyBorder="1" applyAlignment="1" applyProtection="1">
      <alignment horizontal="center" vertical="center" wrapText="1"/>
    </xf>
    <xf numFmtId="0" fontId="17" fillId="6" borderId="65" xfId="0" applyFont="1" applyFill="1" applyBorder="1" applyAlignment="1" applyProtection="1">
      <alignment horizontal="center" vertical="center" wrapText="1"/>
    </xf>
    <xf numFmtId="0" fontId="15" fillId="6" borderId="29" xfId="0" applyFont="1" applyFill="1" applyBorder="1" applyAlignment="1" applyProtection="1">
      <alignment horizontal="center" vertical="center"/>
    </xf>
    <xf numFmtId="0" fontId="0" fillId="0" borderId="41" xfId="0" applyBorder="1" applyAlignment="1">
      <alignment vertical="center"/>
    </xf>
    <xf numFmtId="0" fontId="0" fillId="6" borderId="41" xfId="0" applyFill="1" applyBorder="1" applyAlignment="1">
      <alignment vertical="center"/>
    </xf>
    <xf numFmtId="0" fontId="65" fillId="6" borderId="4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49" fontId="15" fillId="0" borderId="99" xfId="0" applyNumberFormat="1" applyFont="1" applyBorder="1" applyAlignment="1">
      <alignment horizontal="center" vertical="top"/>
    </xf>
    <xf numFmtId="49" fontId="15" fillId="0" borderId="100" xfId="0" applyNumberFormat="1" applyFont="1" applyBorder="1" applyAlignment="1">
      <alignment horizontal="center" vertical="top"/>
    </xf>
    <xf numFmtId="49" fontId="15" fillId="0" borderId="90" xfId="0" applyNumberFormat="1" applyFont="1" applyBorder="1" applyAlignment="1">
      <alignment horizontal="center" vertical="top"/>
    </xf>
    <xf numFmtId="0" fontId="15" fillId="0" borderId="103" xfId="0" applyFont="1" applyBorder="1" applyAlignment="1">
      <alignment horizontal="left" vertical="top"/>
    </xf>
    <xf numFmtId="0" fontId="16" fillId="0" borderId="101" xfId="0" applyFont="1" applyBorder="1"/>
    <xf numFmtId="9" fontId="11" fillId="0" borderId="0" xfId="32" applyFont="1" applyAlignment="1">
      <alignment vertical="center"/>
    </xf>
    <xf numFmtId="0" fontId="0" fillId="6" borderId="106" xfId="0" applyFill="1" applyBorder="1" applyAlignment="1">
      <alignment horizontal="center" vertical="center"/>
    </xf>
    <xf numFmtId="0" fontId="74" fillId="0" borderId="0" xfId="0" applyFont="1" applyAlignment="1">
      <alignment vertical="center"/>
    </xf>
    <xf numFmtId="0" fontId="16" fillId="7" borderId="107" xfId="0" applyFont="1" applyFill="1" applyBorder="1" applyAlignment="1" applyProtection="1">
      <alignment horizontal="center" vertical="center"/>
      <protection locked="0"/>
    </xf>
    <xf numFmtId="0" fontId="16" fillId="7" borderId="108" xfId="0" applyFont="1" applyFill="1" applyBorder="1" applyAlignment="1" applyProtection="1">
      <alignment horizontal="center" vertical="center"/>
      <protection locked="0"/>
    </xf>
    <xf numFmtId="0" fontId="16" fillId="7" borderId="18" xfId="0" applyFont="1" applyFill="1" applyBorder="1" applyAlignment="1" applyProtection="1">
      <alignment horizontal="center" vertical="center"/>
      <protection locked="0"/>
    </xf>
    <xf numFmtId="0" fontId="16" fillId="7" borderId="109" xfId="0" applyFont="1" applyFill="1" applyBorder="1" applyAlignment="1" applyProtection="1">
      <alignment horizontal="center" vertical="center"/>
      <protection locked="0"/>
    </xf>
    <xf numFmtId="0" fontId="75" fillId="0" borderId="101" xfId="0" applyFont="1" applyBorder="1" applyAlignment="1">
      <alignment vertical="center"/>
    </xf>
    <xf numFmtId="0" fontId="64" fillId="0" borderId="101" xfId="0" applyFont="1" applyBorder="1" applyAlignment="1">
      <alignment vertical="center"/>
    </xf>
    <xf numFmtId="0" fontId="17" fillId="6" borderId="54" xfId="0" applyFont="1" applyFill="1" applyBorder="1" applyAlignment="1" applyProtection="1">
      <alignment horizontal="center" vertical="center" wrapText="1"/>
    </xf>
    <xf numFmtId="0" fontId="37" fillId="0" borderId="81" xfId="0" applyFont="1" applyBorder="1" applyAlignment="1" applyProtection="1">
      <alignment horizontal="center" vertical="center"/>
    </xf>
    <xf numFmtId="0" fontId="37" fillId="0" borderId="1" xfId="0" applyFont="1" applyBorder="1" applyAlignment="1" applyProtection="1">
      <alignment horizontal="center" vertical="center"/>
    </xf>
    <xf numFmtId="0" fontId="17" fillId="6" borderId="60" xfId="0" applyFont="1" applyFill="1" applyBorder="1" applyAlignment="1" applyProtection="1">
      <alignment horizontal="center" vertical="center"/>
    </xf>
    <xf numFmtId="0" fontId="17" fillId="6" borderId="65" xfId="0" applyFont="1" applyFill="1" applyBorder="1" applyAlignment="1" applyProtection="1">
      <alignment horizontal="center" vertical="center"/>
    </xf>
    <xf numFmtId="0" fontId="17" fillId="6" borderId="66" xfId="0" applyFont="1" applyFill="1" applyBorder="1" applyAlignment="1" applyProtection="1">
      <alignment horizontal="center" vertical="center"/>
    </xf>
    <xf numFmtId="0" fontId="16" fillId="6" borderId="79" xfId="0" applyFont="1" applyFill="1" applyBorder="1" applyAlignment="1">
      <alignment horizontal="center" vertical="center" wrapText="1"/>
    </xf>
    <xf numFmtId="2" fontId="16" fillId="6" borderId="82" xfId="0" applyNumberFormat="1" applyFont="1" applyFill="1" applyBorder="1" applyAlignment="1">
      <alignment horizontal="center" vertical="center"/>
    </xf>
    <xf numFmtId="2" fontId="16" fillId="6" borderId="80" xfId="0" applyNumberFormat="1" applyFont="1" applyFill="1" applyBorder="1" applyAlignment="1">
      <alignment horizontal="center" vertical="center"/>
    </xf>
    <xf numFmtId="2" fontId="16" fillId="6" borderId="110" xfId="0" applyNumberFormat="1" applyFont="1" applyFill="1" applyBorder="1" applyAlignment="1">
      <alignment horizontal="center" vertical="center"/>
    </xf>
    <xf numFmtId="2" fontId="16" fillId="6" borderId="81" xfId="0" applyNumberFormat="1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wrapText="1"/>
    </xf>
    <xf numFmtId="2" fontId="16" fillId="6" borderId="38" xfId="0" applyNumberFormat="1" applyFont="1" applyFill="1" applyBorder="1" applyAlignment="1">
      <alignment horizontal="center" vertical="center"/>
    </xf>
    <xf numFmtId="2" fontId="16" fillId="6" borderId="6" xfId="0" applyNumberFormat="1" applyFont="1" applyFill="1" applyBorder="1" applyAlignment="1">
      <alignment horizontal="center" vertical="center"/>
    </xf>
    <xf numFmtId="2" fontId="16" fillId="6" borderId="111" xfId="0" applyNumberFormat="1" applyFont="1" applyFill="1" applyBorder="1" applyAlignment="1">
      <alignment horizontal="center" vertical="center"/>
    </xf>
    <xf numFmtId="2" fontId="16" fillId="6" borderId="5" xfId="0" applyNumberFormat="1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2" fontId="16" fillId="6" borderId="50" xfId="0" applyNumberFormat="1" applyFont="1" applyFill="1" applyBorder="1" applyAlignment="1">
      <alignment horizontal="center" vertical="center"/>
    </xf>
    <xf numFmtId="2" fontId="16" fillId="6" borderId="2" xfId="0" applyNumberFormat="1" applyFont="1" applyFill="1" applyBorder="1" applyAlignment="1">
      <alignment horizontal="center" vertical="center"/>
    </xf>
    <xf numFmtId="2" fontId="16" fillId="6" borderId="112" xfId="0" applyNumberFormat="1" applyFont="1" applyFill="1" applyBorder="1" applyAlignment="1">
      <alignment horizontal="center" vertical="center"/>
    </xf>
    <xf numFmtId="2" fontId="16" fillId="6" borderId="1" xfId="0" applyNumberFormat="1" applyFont="1" applyFill="1" applyBorder="1" applyAlignment="1">
      <alignment horizontal="center" vertical="center"/>
    </xf>
    <xf numFmtId="2" fontId="10" fillId="6" borderId="61" xfId="0" applyNumberFormat="1" applyFont="1" applyFill="1" applyBorder="1" applyAlignment="1">
      <alignment horizontal="center" vertical="center"/>
    </xf>
    <xf numFmtId="2" fontId="10" fillId="6" borderId="72" xfId="0" applyNumberFormat="1" applyFont="1" applyFill="1" applyBorder="1" applyAlignment="1">
      <alignment horizontal="center" vertical="center"/>
    </xf>
    <xf numFmtId="0" fontId="16" fillId="0" borderId="8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6" borderId="81" xfId="0" applyFont="1" applyFill="1" applyBorder="1" applyAlignment="1" applyProtection="1">
      <alignment horizontal="center" vertical="center"/>
    </xf>
    <xf numFmtId="0" fontId="16" fillId="6" borderId="1" xfId="0" applyFont="1" applyFill="1" applyBorder="1" applyAlignment="1" applyProtection="1">
      <alignment horizontal="center" vertical="center"/>
    </xf>
    <xf numFmtId="0" fontId="6" fillId="6" borderId="0" xfId="0" applyFont="1" applyFill="1" applyBorder="1" applyAlignment="1" applyProtection="1">
      <alignment horizontal="center" vertical="center"/>
    </xf>
    <xf numFmtId="0" fontId="0" fillId="6" borderId="40" xfId="0" applyFill="1" applyBorder="1" applyAlignment="1">
      <alignment vertical="center"/>
    </xf>
    <xf numFmtId="0" fontId="0" fillId="6" borderId="20" xfId="0" applyFill="1" applyBorder="1" applyAlignment="1">
      <alignment vertical="center"/>
    </xf>
    <xf numFmtId="0" fontId="16" fillId="0" borderId="39" xfId="0" applyFont="1" applyBorder="1"/>
    <xf numFmtId="0" fontId="16" fillId="0" borderId="0" xfId="0" applyFont="1" applyBorder="1" applyAlignment="1">
      <alignment horizontal="center"/>
    </xf>
    <xf numFmtId="0" fontId="36" fillId="0" borderId="0" xfId="0" applyFont="1" applyBorder="1" applyAlignment="1">
      <alignment vertical="center"/>
    </xf>
    <xf numFmtId="0" fontId="0" fillId="6" borderId="53" xfId="0" applyFill="1" applyBorder="1" applyAlignment="1">
      <alignment vertical="center"/>
    </xf>
    <xf numFmtId="0" fontId="6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6" fillId="0" borderId="0" xfId="0" applyFont="1" applyBorder="1"/>
    <xf numFmtId="0" fontId="16" fillId="0" borderId="0" xfId="0" applyFont="1" applyBorder="1" applyAlignment="1">
      <alignment vertical="top"/>
    </xf>
    <xf numFmtId="0" fontId="16" fillId="0" borderId="53" xfId="0" applyFont="1" applyBorder="1"/>
    <xf numFmtId="0" fontId="9" fillId="0" borderId="0" xfId="0" applyFont="1" applyBorder="1" applyAlignment="1">
      <alignment horizontal="left" vertical="center"/>
    </xf>
    <xf numFmtId="0" fontId="15" fillId="0" borderId="0" xfId="0" applyFont="1" applyBorder="1"/>
    <xf numFmtId="49" fontId="15" fillId="0" borderId="0" xfId="0" applyNumberFormat="1" applyFont="1" applyBorder="1" applyAlignment="1">
      <alignment horizontal="center" vertical="top"/>
    </xf>
    <xf numFmtId="0" fontId="0" fillId="6" borderId="37" xfId="0" applyFill="1" applyBorder="1" applyAlignment="1">
      <alignment vertical="center"/>
    </xf>
    <xf numFmtId="0" fontId="0" fillId="6" borderId="36" xfId="0" applyFill="1" applyBorder="1" applyAlignment="1">
      <alignment vertical="center"/>
    </xf>
    <xf numFmtId="0" fontId="0" fillId="6" borderId="56" xfId="0" applyFill="1" applyBorder="1" applyAlignment="1">
      <alignment vertical="center"/>
    </xf>
    <xf numFmtId="0" fontId="65" fillId="6" borderId="40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0" fillId="6" borderId="39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6" borderId="0" xfId="0" applyFont="1" applyFill="1" applyBorder="1" applyAlignment="1">
      <alignment horizontal="center" vertical="center" wrapText="1"/>
    </xf>
    <xf numFmtId="0" fontId="37" fillId="6" borderId="0" xfId="0" applyFont="1" applyFill="1" applyBorder="1" applyAlignment="1" applyProtection="1">
      <alignment horizontal="center" vertical="center" wrapText="1"/>
      <protection locked="0"/>
    </xf>
    <xf numFmtId="0" fontId="2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left" vertical="center"/>
    </xf>
    <xf numFmtId="0" fontId="16" fillId="6" borderId="36" xfId="0" applyFont="1" applyFill="1" applyBorder="1" applyAlignment="1" applyProtection="1">
      <alignment vertical="center"/>
    </xf>
    <xf numFmtId="0" fontId="0" fillId="6" borderId="36" xfId="0" applyFill="1" applyBorder="1" applyAlignment="1" applyProtection="1">
      <alignment vertical="center"/>
    </xf>
    <xf numFmtId="0" fontId="0" fillId="6" borderId="53" xfId="0" applyFill="1" applyBorder="1" applyAlignment="1" applyProtection="1">
      <alignment vertical="center"/>
    </xf>
    <xf numFmtId="0" fontId="0" fillId="6" borderId="36" xfId="0" applyFill="1" applyBorder="1" applyAlignment="1" applyProtection="1">
      <alignment horizontal="center" vertical="center"/>
    </xf>
    <xf numFmtId="0" fontId="0" fillId="6" borderId="56" xfId="0" applyFill="1" applyBorder="1" applyAlignment="1" applyProtection="1">
      <alignment vertical="center"/>
    </xf>
    <xf numFmtId="0" fontId="58" fillId="6" borderId="41" xfId="0" applyFont="1" applyFill="1" applyBorder="1" applyAlignment="1">
      <alignment vertical="center"/>
    </xf>
    <xf numFmtId="0" fontId="58" fillId="6" borderId="53" xfId="0" applyFont="1" applyFill="1" applyBorder="1" applyAlignment="1">
      <alignment vertical="center"/>
    </xf>
    <xf numFmtId="0" fontId="59" fillId="6" borderId="41" xfId="0" applyFont="1" applyFill="1" applyBorder="1" applyAlignment="1">
      <alignment vertical="center"/>
    </xf>
    <xf numFmtId="0" fontId="59" fillId="6" borderId="53" xfId="0" applyFont="1" applyFill="1" applyBorder="1" applyAlignment="1">
      <alignment vertical="center"/>
    </xf>
    <xf numFmtId="0" fontId="58" fillId="6" borderId="0" xfId="0" applyFont="1" applyFill="1" applyBorder="1" applyAlignment="1">
      <alignment vertical="center"/>
    </xf>
    <xf numFmtId="0" fontId="58" fillId="6" borderId="0" xfId="0" applyFont="1" applyFill="1" applyBorder="1" applyAlignment="1">
      <alignment horizontal="center" vertical="center"/>
    </xf>
    <xf numFmtId="0" fontId="58" fillId="6" borderId="0" xfId="0" applyFont="1" applyFill="1" applyBorder="1" applyAlignment="1" applyProtection="1">
      <alignment horizontal="center" vertical="center"/>
      <protection locked="0"/>
    </xf>
    <xf numFmtId="0" fontId="58" fillId="6" borderId="37" xfId="0" applyFont="1" applyFill="1" applyBorder="1" applyAlignment="1">
      <alignment vertical="center"/>
    </xf>
    <xf numFmtId="0" fontId="58" fillId="6" borderId="36" xfId="0" applyFont="1" applyFill="1" applyBorder="1" applyAlignment="1">
      <alignment vertical="center"/>
    </xf>
    <xf numFmtId="0" fontId="58" fillId="6" borderId="36" xfId="0" applyFont="1" applyFill="1" applyBorder="1" applyAlignment="1">
      <alignment horizontal="center" vertical="center"/>
    </xf>
    <xf numFmtId="0" fontId="58" fillId="6" borderId="36" xfId="0" applyFont="1" applyFill="1" applyBorder="1" applyAlignment="1" applyProtection="1">
      <alignment horizontal="center" vertical="center"/>
      <protection locked="0"/>
    </xf>
    <xf numFmtId="0" fontId="58" fillId="6" borderId="56" xfId="0" applyFont="1" applyFill="1" applyBorder="1" applyAlignment="1">
      <alignment vertical="center"/>
    </xf>
    <xf numFmtId="0" fontId="16" fillId="6" borderId="41" xfId="0" applyFont="1" applyFill="1" applyBorder="1"/>
    <xf numFmtId="0" fontId="16" fillId="6" borderId="0" xfId="0" applyFont="1" applyFill="1" applyBorder="1"/>
    <xf numFmtId="0" fontId="16" fillId="6" borderId="53" xfId="0" applyFont="1" applyFill="1" applyBorder="1"/>
    <xf numFmtId="0" fontId="0" fillId="6" borderId="0" xfId="0" applyFill="1" applyBorder="1" applyAlignment="1">
      <alignment horizontal="center" vertical="center"/>
    </xf>
    <xf numFmtId="0" fontId="0" fillId="6" borderId="113" xfId="0" applyFill="1" applyBorder="1" applyAlignment="1">
      <alignment vertical="center"/>
    </xf>
    <xf numFmtId="0" fontId="16" fillId="6" borderId="41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16" fillId="6" borderId="37" xfId="0" applyFont="1" applyFill="1" applyBorder="1"/>
    <xf numFmtId="0" fontId="16" fillId="6" borderId="36" xfId="0" applyFont="1" applyFill="1" applyBorder="1"/>
    <xf numFmtId="0" fontId="0" fillId="6" borderId="56" xfId="0" applyFill="1" applyBorder="1"/>
    <xf numFmtId="0" fontId="11" fillId="6" borderId="41" xfId="0" applyFont="1" applyFill="1" applyBorder="1" applyAlignment="1">
      <alignment vertical="center"/>
    </xf>
    <xf numFmtId="0" fontId="11" fillId="6" borderId="53" xfId="0" applyFont="1" applyFill="1" applyBorder="1" applyAlignment="1">
      <alignment vertical="center"/>
    </xf>
    <xf numFmtId="0" fontId="11" fillId="6" borderId="53" xfId="0" applyFont="1" applyFill="1" applyBorder="1" applyAlignment="1">
      <alignment horizontal="left" vertical="center"/>
    </xf>
    <xf numFmtId="2" fontId="16" fillId="6" borderId="0" xfId="0" applyNumberFormat="1" applyFont="1" applyFill="1" applyBorder="1" applyAlignment="1" applyProtection="1">
      <alignment horizontal="center" vertical="center"/>
    </xf>
    <xf numFmtId="0" fontId="16" fillId="6" borderId="0" xfId="0" applyFont="1" applyFill="1" applyBorder="1" applyAlignment="1" applyProtection="1">
      <alignment vertical="top"/>
    </xf>
    <xf numFmtId="0" fontId="77" fillId="6" borderId="53" xfId="0" applyFont="1" applyFill="1" applyBorder="1" applyAlignment="1">
      <alignment vertical="center"/>
    </xf>
    <xf numFmtId="2" fontId="16" fillId="6" borderId="0" xfId="0" applyNumberFormat="1" applyFont="1" applyFill="1" applyBorder="1" applyAlignment="1">
      <alignment vertical="center"/>
    </xf>
    <xf numFmtId="0" fontId="11" fillId="6" borderId="36" xfId="0" applyFont="1" applyFill="1" applyBorder="1" applyAlignment="1">
      <alignment vertical="center"/>
    </xf>
    <xf numFmtId="2" fontId="11" fillId="6" borderId="36" xfId="0" applyNumberFormat="1" applyFont="1" applyFill="1" applyBorder="1" applyAlignment="1">
      <alignment vertical="center"/>
    </xf>
    <xf numFmtId="0" fontId="11" fillId="6" borderId="56" xfId="0" applyFont="1" applyFill="1" applyBorder="1" applyAlignment="1">
      <alignment vertical="center"/>
    </xf>
    <xf numFmtId="0" fontId="16" fillId="6" borderId="53" xfId="0" applyFont="1" applyFill="1" applyBorder="1" applyAlignment="1">
      <alignment vertical="center"/>
    </xf>
    <xf numFmtId="0" fontId="16" fillId="6" borderId="40" xfId="0" applyFont="1" applyFill="1" applyBorder="1" applyAlignment="1">
      <alignment vertical="center"/>
    </xf>
    <xf numFmtId="0" fontId="16" fillId="6" borderId="20" xfId="0" applyFont="1" applyFill="1" applyBorder="1" applyAlignment="1">
      <alignment vertical="center"/>
    </xf>
    <xf numFmtId="0" fontId="16" fillId="6" borderId="39" xfId="0" applyFont="1" applyFill="1" applyBorder="1" applyAlignment="1">
      <alignment vertical="center"/>
    </xf>
    <xf numFmtId="0" fontId="16" fillId="6" borderId="41" xfId="0" applyFont="1" applyFill="1" applyBorder="1" applyAlignment="1">
      <alignment vertical="center"/>
    </xf>
    <xf numFmtId="0" fontId="16" fillId="0" borderId="0" xfId="0" applyFont="1" applyBorder="1" applyAlignment="1"/>
    <xf numFmtId="0" fontId="0" fillId="0" borderId="0" xfId="0" applyBorder="1" applyAlignment="1">
      <alignment horizontal="center" vertical="center"/>
    </xf>
    <xf numFmtId="0" fontId="16" fillId="6" borderId="37" xfId="0" applyFont="1" applyFill="1" applyBorder="1" applyAlignment="1">
      <alignment vertical="center"/>
    </xf>
    <xf numFmtId="0" fontId="16" fillId="6" borderId="36" xfId="0" applyFont="1" applyFill="1" applyBorder="1" applyAlignment="1">
      <alignment vertical="center"/>
    </xf>
    <xf numFmtId="0" fontId="16" fillId="6" borderId="56" xfId="0" applyFont="1" applyFill="1" applyBorder="1" applyAlignment="1">
      <alignment vertical="center"/>
    </xf>
    <xf numFmtId="0" fontId="72" fillId="6" borderId="53" xfId="0" applyFont="1" applyFill="1" applyBorder="1" applyAlignment="1">
      <alignment vertical="center"/>
    </xf>
    <xf numFmtId="0" fontId="12" fillId="6" borderId="53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78" fillId="0" borderId="0" xfId="0" applyFont="1" applyBorder="1" applyAlignment="1">
      <alignment horizontal="left" vertical="center"/>
    </xf>
    <xf numFmtId="0" fontId="17" fillId="0" borderId="26" xfId="0" applyFont="1" applyBorder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77" fillId="0" borderId="0" xfId="0" applyFont="1" applyAlignment="1">
      <alignment vertical="center"/>
    </xf>
    <xf numFmtId="0" fontId="17" fillId="6" borderId="63" xfId="0" applyFont="1" applyFill="1" applyBorder="1" applyAlignment="1">
      <alignment vertical="center" wrapText="1"/>
    </xf>
    <xf numFmtId="2" fontId="17" fillId="13" borderId="29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37" fillId="0" borderId="0" xfId="0" applyNumberFormat="1" applyFont="1" applyBorder="1" applyAlignment="1">
      <alignment horizontal="center" vertical="center"/>
    </xf>
    <xf numFmtId="0" fontId="15" fillId="6" borderId="71" xfId="0" applyFont="1" applyFill="1" applyBorder="1" applyAlignment="1">
      <alignment vertical="center"/>
    </xf>
    <xf numFmtId="0" fontId="16" fillId="0" borderId="85" xfId="0" applyFont="1" applyBorder="1" applyAlignment="1">
      <alignment vertical="center"/>
    </xf>
    <xf numFmtId="0" fontId="17" fillId="6" borderId="55" xfId="0" applyFont="1" applyFill="1" applyBorder="1" applyAlignment="1" applyProtection="1">
      <alignment horizontal="center" vertical="center" wrapText="1"/>
    </xf>
    <xf numFmtId="2" fontId="16" fillId="0" borderId="23" xfId="0" applyNumberFormat="1" applyFont="1" applyBorder="1" applyAlignment="1" applyProtection="1">
      <alignment horizontal="center" vertical="center"/>
    </xf>
    <xf numFmtId="0" fontId="17" fillId="6" borderId="65" xfId="0" applyFont="1" applyFill="1" applyBorder="1" applyAlignment="1" applyProtection="1">
      <alignment horizontal="center" vertical="center" wrapText="1"/>
    </xf>
    <xf numFmtId="0" fontId="17" fillId="6" borderId="80" xfId="0" applyFont="1" applyFill="1" applyBorder="1" applyAlignment="1" applyProtection="1">
      <alignment horizontal="center" vertical="center" wrapText="1"/>
    </xf>
    <xf numFmtId="2" fontId="15" fillId="0" borderId="5" xfId="0" applyNumberFormat="1" applyFont="1" applyBorder="1" applyAlignment="1" applyProtection="1">
      <alignment horizontal="center" vertical="center"/>
    </xf>
    <xf numFmtId="2" fontId="17" fillId="0" borderId="1" xfId="0" applyNumberFormat="1" applyFont="1" applyBorder="1" applyAlignment="1" applyProtection="1">
      <alignment horizontal="center" vertical="center"/>
    </xf>
    <xf numFmtId="0" fontId="17" fillId="6" borderId="80" xfId="0" applyFont="1" applyFill="1" applyBorder="1" applyAlignment="1" applyProtection="1">
      <alignment horizontal="center" vertical="center" wrapText="1"/>
    </xf>
    <xf numFmtId="0" fontId="17" fillId="0" borderId="26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vertical="center" wrapText="1"/>
    </xf>
    <xf numFmtId="9" fontId="16" fillId="0" borderId="29" xfId="0" applyNumberFormat="1" applyFont="1" applyBorder="1" applyAlignment="1" applyProtection="1">
      <alignment horizontal="center" vertical="center" wrapText="1"/>
    </xf>
    <xf numFmtId="0" fontId="16" fillId="0" borderId="29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vertical="center"/>
    </xf>
    <xf numFmtId="2" fontId="16" fillId="0" borderId="37" xfId="0" applyNumberFormat="1" applyFont="1" applyBorder="1" applyAlignment="1" applyProtection="1">
      <alignment horizontal="center" vertical="center"/>
    </xf>
    <xf numFmtId="2" fontId="16" fillId="0" borderId="49" xfId="0" applyNumberFormat="1" applyFont="1" applyBorder="1" applyAlignment="1" applyProtection="1">
      <alignment horizontal="center" vertical="center"/>
    </xf>
    <xf numFmtId="0" fontId="6" fillId="0" borderId="80" xfId="0" applyFont="1" applyBorder="1" applyAlignment="1" applyProtection="1">
      <alignment horizontal="center" vertical="center" wrapText="1"/>
    </xf>
    <xf numFmtId="0" fontId="17" fillId="0" borderId="69" xfId="0" applyFont="1" applyFill="1" applyBorder="1" applyAlignment="1" applyProtection="1">
      <alignment horizontal="center" vertical="center"/>
    </xf>
    <xf numFmtId="2" fontId="16" fillId="7" borderId="6" xfId="0" applyNumberFormat="1" applyFont="1" applyFill="1" applyBorder="1" applyAlignment="1" applyProtection="1">
      <alignment horizontal="center" vertical="center"/>
      <protection locked="0"/>
    </xf>
    <xf numFmtId="2" fontId="16" fillId="7" borderId="32" xfId="0" applyNumberFormat="1" applyFont="1" applyFill="1" applyBorder="1" applyAlignment="1" applyProtection="1">
      <alignment horizontal="center" vertical="center"/>
      <protection locked="0"/>
    </xf>
    <xf numFmtId="2" fontId="15" fillId="7" borderId="6" xfId="0" applyNumberFormat="1" applyFont="1" applyFill="1" applyBorder="1" applyAlignment="1" applyProtection="1">
      <alignment horizontal="center" vertical="center"/>
      <protection locked="0"/>
    </xf>
    <xf numFmtId="2" fontId="15" fillId="7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105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53" xfId="0" applyFont="1" applyBorder="1" applyAlignment="1">
      <alignment horizontal="left" vertical="top"/>
    </xf>
    <xf numFmtId="0" fontId="15" fillId="0" borderId="46" xfId="0" applyFont="1" applyBorder="1" applyAlignment="1">
      <alignment horizontal="left" vertical="top"/>
    </xf>
    <xf numFmtId="0" fontId="15" fillId="0" borderId="97" xfId="0" applyFont="1" applyBorder="1" applyAlignment="1">
      <alignment horizontal="left" vertical="top"/>
    </xf>
    <xf numFmtId="0" fontId="15" fillId="0" borderId="95" xfId="0" applyFont="1" applyBorder="1" applyAlignment="1">
      <alignment horizontal="left" vertical="top"/>
    </xf>
    <xf numFmtId="0" fontId="15" fillId="0" borderId="91" xfId="0" applyFont="1" applyBorder="1" applyAlignment="1">
      <alignment horizontal="left" vertical="top"/>
    </xf>
    <xf numFmtId="0" fontId="15" fillId="0" borderId="92" xfId="0" applyFont="1" applyBorder="1" applyAlignment="1">
      <alignment horizontal="left" vertical="top"/>
    </xf>
    <xf numFmtId="0" fontId="15" fillId="0" borderId="96" xfId="0" applyFont="1" applyBorder="1" applyAlignment="1">
      <alignment horizontal="left" vertical="top"/>
    </xf>
    <xf numFmtId="0" fontId="15" fillId="0" borderId="94" xfId="0" applyFont="1" applyBorder="1" applyAlignment="1">
      <alignment horizontal="left" vertical="top"/>
    </xf>
    <xf numFmtId="0" fontId="15" fillId="0" borderId="93" xfId="0" applyFont="1" applyBorder="1" applyAlignment="1">
      <alignment horizontal="left" vertical="top"/>
    </xf>
    <xf numFmtId="0" fontId="17" fillId="6" borderId="70" xfId="0" applyFont="1" applyFill="1" applyBorder="1" applyAlignment="1">
      <alignment horizontal="left" vertical="center" wrapText="1" indent="1"/>
    </xf>
    <xf numFmtId="0" fontId="17" fillId="6" borderId="83" xfId="0" applyFont="1" applyFill="1" applyBorder="1" applyAlignment="1">
      <alignment horizontal="left" vertical="center" wrapText="1" indent="1"/>
    </xf>
    <xf numFmtId="0" fontId="17" fillId="6" borderId="71" xfId="0" applyFont="1" applyFill="1" applyBorder="1" applyAlignment="1">
      <alignment horizontal="left" vertical="center" wrapText="1" indent="1"/>
    </xf>
    <xf numFmtId="0" fontId="17" fillId="6" borderId="57" xfId="0" applyFont="1" applyFill="1" applyBorder="1" applyAlignment="1">
      <alignment horizontal="left" vertical="top" wrapText="1" indent="1"/>
    </xf>
    <xf numFmtId="0" fontId="17" fillId="6" borderId="31" xfId="0" applyFont="1" applyFill="1" applyBorder="1" applyAlignment="1">
      <alignment horizontal="left" vertical="top" wrapText="1" indent="1"/>
    </xf>
    <xf numFmtId="0" fontId="17" fillId="6" borderId="52" xfId="0" applyFont="1" applyFill="1" applyBorder="1" applyAlignment="1">
      <alignment horizontal="left" vertical="top" wrapText="1" indent="1"/>
    </xf>
    <xf numFmtId="0" fontId="15" fillId="0" borderId="101" xfId="0" applyFont="1" applyBorder="1" applyAlignment="1">
      <alignment horizontal="left" vertical="top"/>
    </xf>
    <xf numFmtId="0" fontId="15" fillId="0" borderId="102" xfId="0" applyFont="1" applyBorder="1" applyAlignment="1">
      <alignment horizontal="left" vertical="top"/>
    </xf>
    <xf numFmtId="0" fontId="15" fillId="0" borderId="104" xfId="0" applyFont="1" applyBorder="1" applyAlignment="1">
      <alignment horizontal="left" vertical="top" wrapText="1"/>
    </xf>
    <xf numFmtId="0" fontId="15" fillId="0" borderId="101" xfId="0" applyFont="1" applyBorder="1" applyAlignment="1">
      <alignment horizontal="left" vertical="top" wrapText="1"/>
    </xf>
    <xf numFmtId="0" fontId="15" fillId="0" borderId="98" xfId="0" applyFont="1" applyBorder="1" applyAlignment="1">
      <alignment horizontal="left" vertical="top"/>
    </xf>
    <xf numFmtId="0" fontId="16" fillId="6" borderId="79" xfId="0" applyFont="1" applyFill="1" applyBorder="1" applyAlignment="1" applyProtection="1">
      <alignment horizontal="center" vertical="center"/>
    </xf>
    <xf numFmtId="0" fontId="16" fillId="6" borderId="80" xfId="0" applyFont="1" applyFill="1" applyBorder="1" applyAlignment="1" applyProtection="1">
      <alignment vertical="center"/>
    </xf>
    <xf numFmtId="0" fontId="16" fillId="6" borderId="81" xfId="0" applyFont="1" applyFill="1" applyBorder="1" applyAlignment="1" applyProtection="1">
      <alignment vertical="center"/>
    </xf>
    <xf numFmtId="164" fontId="16" fillId="6" borderId="68" xfId="0" applyNumberFormat="1" applyFont="1" applyFill="1" applyBorder="1" applyAlignment="1" applyProtection="1">
      <alignment horizontal="center" vertical="center"/>
    </xf>
    <xf numFmtId="164" fontId="16" fillId="6" borderId="41" xfId="0" applyNumberFormat="1" applyFont="1" applyFill="1" applyBorder="1" applyAlignment="1" applyProtection="1">
      <alignment horizontal="center" vertical="center"/>
    </xf>
    <xf numFmtId="164" fontId="16" fillId="6" borderId="54" xfId="0" applyNumberFormat="1" applyFont="1" applyFill="1" applyBorder="1" applyAlignment="1" applyProtection="1">
      <alignment horizontal="center" vertical="center"/>
    </xf>
    <xf numFmtId="164" fontId="16" fillId="6" borderId="65" xfId="0" applyNumberFormat="1" applyFont="1" applyFill="1" applyBorder="1" applyAlignment="1" applyProtection="1">
      <alignment horizontal="center" vertical="center"/>
    </xf>
    <xf numFmtId="164" fontId="16" fillId="6" borderId="46" xfId="0" applyNumberFormat="1" applyFont="1" applyFill="1" applyBorder="1" applyAlignment="1" applyProtection="1">
      <alignment horizontal="center" vertical="center"/>
    </xf>
    <xf numFmtId="164" fontId="16" fillId="6" borderId="51" xfId="0" applyNumberFormat="1" applyFont="1" applyFill="1" applyBorder="1" applyAlignment="1" applyProtection="1">
      <alignment horizontal="center" vertical="center"/>
    </xf>
    <xf numFmtId="164" fontId="16" fillId="6" borderId="66" xfId="0" applyNumberFormat="1" applyFont="1" applyFill="1" applyBorder="1" applyAlignment="1" applyProtection="1">
      <alignment horizontal="center" vertical="center"/>
    </xf>
    <xf numFmtId="164" fontId="16" fillId="6" borderId="84" xfId="0" applyNumberFormat="1" applyFont="1" applyFill="1" applyBorder="1" applyAlignment="1" applyProtection="1">
      <alignment horizontal="center" vertical="center"/>
    </xf>
    <xf numFmtId="164" fontId="16" fillId="6" borderId="85" xfId="0" applyNumberFormat="1" applyFont="1" applyFill="1" applyBorder="1" applyAlignment="1" applyProtection="1">
      <alignment horizontal="center" vertical="center"/>
    </xf>
    <xf numFmtId="164" fontId="16" fillId="6" borderId="60" xfId="0" applyNumberFormat="1" applyFont="1" applyFill="1" applyBorder="1" applyAlignment="1" applyProtection="1">
      <alignment horizontal="center" vertical="center"/>
    </xf>
    <xf numFmtId="164" fontId="16" fillId="6" borderId="47" xfId="0" applyNumberFormat="1" applyFont="1" applyFill="1" applyBorder="1" applyAlignment="1" applyProtection="1">
      <alignment horizontal="center" vertical="center"/>
    </xf>
    <xf numFmtId="164" fontId="16" fillId="6" borderId="58" xfId="0" applyNumberFormat="1" applyFont="1" applyFill="1" applyBorder="1" applyAlignment="1" applyProtection="1">
      <alignment horizontal="center" vertical="center"/>
    </xf>
    <xf numFmtId="0" fontId="16" fillId="6" borderId="7" xfId="0" applyFont="1" applyFill="1" applyBorder="1" applyAlignment="1" applyProtection="1">
      <alignment horizontal="center" vertical="center"/>
    </xf>
    <xf numFmtId="0" fontId="16" fillId="6" borderId="3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</xf>
    <xf numFmtId="0" fontId="6" fillId="6" borderId="33" xfId="0" applyFont="1" applyFill="1" applyBorder="1" applyAlignment="1" applyProtection="1">
      <alignment horizontal="center" vertical="center" wrapText="1"/>
    </xf>
    <xf numFmtId="0" fontId="37" fillId="7" borderId="2" xfId="0" applyFont="1" applyFill="1" applyBorder="1" applyAlignment="1" applyProtection="1">
      <alignment horizontal="center" vertical="center" wrapText="1"/>
      <protection locked="0"/>
    </xf>
    <xf numFmtId="0" fontId="37" fillId="7" borderId="1" xfId="0" applyFont="1" applyFill="1" applyBorder="1" applyAlignment="1" applyProtection="1">
      <alignment horizontal="center" vertical="center" wrapText="1"/>
      <protection locked="0"/>
    </xf>
    <xf numFmtId="0" fontId="6" fillId="6" borderId="72" xfId="0" applyFont="1" applyFill="1" applyBorder="1" applyAlignment="1" applyProtection="1">
      <alignment horizontal="left" vertical="center" wrapText="1"/>
    </xf>
    <xf numFmtId="0" fontId="17" fillId="6" borderId="74" xfId="0" applyFont="1" applyFill="1" applyBorder="1" applyAlignment="1" applyProtection="1">
      <alignment horizontal="left" vertical="center" wrapText="1"/>
    </xf>
    <xf numFmtId="0" fontId="17" fillId="6" borderId="75" xfId="0" applyFont="1" applyFill="1" applyBorder="1" applyAlignment="1" applyProtection="1">
      <alignment horizontal="left" vertical="center" wrapText="1"/>
    </xf>
    <xf numFmtId="0" fontId="17" fillId="6" borderId="67" xfId="0" applyFont="1" applyFill="1" applyBorder="1" applyAlignment="1" applyProtection="1">
      <alignment horizontal="center" vertical="center" wrapText="1"/>
    </xf>
    <xf numFmtId="0" fontId="17" fillId="6" borderId="48" xfId="0" applyFont="1" applyFill="1" applyBorder="1" applyAlignment="1" applyProtection="1">
      <alignment vertical="center"/>
    </xf>
    <xf numFmtId="0" fontId="16" fillId="6" borderId="59" xfId="0" applyFont="1" applyFill="1" applyBorder="1" applyAlignment="1" applyProtection="1">
      <alignment vertical="center"/>
    </xf>
    <xf numFmtId="0" fontId="9" fillId="6" borderId="62" xfId="0" applyFont="1" applyFill="1" applyBorder="1" applyAlignment="1" applyProtection="1">
      <alignment vertical="center"/>
    </xf>
    <xf numFmtId="0" fontId="9" fillId="6" borderId="63" xfId="0" applyFont="1" applyFill="1" applyBorder="1" applyAlignment="1" applyProtection="1">
      <alignment vertical="center"/>
    </xf>
    <xf numFmtId="0" fontId="16" fillId="6" borderId="69" xfId="0" applyFont="1" applyFill="1" applyBorder="1" applyAlignment="1" applyProtection="1">
      <alignment vertical="center"/>
    </xf>
    <xf numFmtId="0" fontId="16" fillId="6" borderId="82" xfId="0" applyFont="1" applyFill="1" applyBorder="1" applyAlignment="1" applyProtection="1">
      <alignment horizontal="center" vertical="center"/>
    </xf>
    <xf numFmtId="0" fontId="16" fillId="6" borderId="67" xfId="0" applyFont="1" applyFill="1" applyBorder="1" applyAlignment="1" applyProtection="1">
      <alignment horizontal="center" vertical="center"/>
    </xf>
    <xf numFmtId="0" fontId="16" fillId="6" borderId="59" xfId="0" applyFont="1" applyFill="1" applyBorder="1" applyAlignment="1" applyProtection="1">
      <alignment horizontal="center" vertical="center"/>
    </xf>
    <xf numFmtId="0" fontId="6" fillId="6" borderId="69" xfId="0" applyFont="1" applyFill="1" applyBorder="1" applyAlignment="1" applyProtection="1">
      <alignment horizontal="center" vertical="center"/>
    </xf>
    <xf numFmtId="0" fontId="6" fillId="6" borderId="77" xfId="0" applyFont="1" applyFill="1" applyBorder="1" applyAlignment="1" applyProtection="1">
      <alignment horizontal="center" vertical="center"/>
    </xf>
    <xf numFmtId="0" fontId="6" fillId="6" borderId="82" xfId="0" applyFont="1" applyFill="1" applyBorder="1" applyAlignment="1" applyProtection="1">
      <alignment horizontal="center" vertical="center"/>
    </xf>
    <xf numFmtId="164" fontId="9" fillId="7" borderId="33" xfId="0" applyNumberFormat="1" applyFont="1" applyFill="1" applyBorder="1" applyAlignment="1" applyProtection="1">
      <alignment horizontal="center" vertical="center"/>
      <protection locked="0"/>
    </xf>
    <xf numFmtId="164" fontId="9" fillId="7" borderId="42" xfId="0" applyNumberFormat="1" applyFont="1" applyFill="1" applyBorder="1" applyAlignment="1" applyProtection="1">
      <alignment horizontal="center" vertical="center"/>
      <protection locked="0"/>
    </xf>
    <xf numFmtId="164" fontId="9" fillId="7" borderId="50" xfId="0" applyNumberFormat="1" applyFont="1" applyFill="1" applyBorder="1" applyAlignment="1" applyProtection="1">
      <alignment horizontal="center" vertical="center"/>
      <protection locked="0"/>
    </xf>
    <xf numFmtId="0" fontId="6" fillId="6" borderId="78" xfId="0" applyFont="1" applyFill="1" applyBorder="1" applyAlignment="1" applyProtection="1">
      <alignment horizontal="center" vertical="center"/>
    </xf>
    <xf numFmtId="164" fontId="9" fillId="7" borderId="45" xfId="0" applyNumberFormat="1" applyFont="1" applyFill="1" applyBorder="1" applyAlignment="1" applyProtection="1">
      <alignment horizontal="center" vertical="center"/>
      <protection locked="0"/>
    </xf>
    <xf numFmtId="0" fontId="15" fillId="6" borderId="0" xfId="0" applyFont="1" applyFill="1" applyBorder="1" applyAlignment="1">
      <alignment horizontal="left" vertical="top" wrapText="1"/>
    </xf>
    <xf numFmtId="0" fontId="9" fillId="6" borderId="72" xfId="0" applyFont="1" applyFill="1" applyBorder="1" applyAlignment="1" applyProtection="1">
      <alignment horizontal="center" vertical="center" wrapText="1"/>
    </xf>
    <xf numFmtId="0" fontId="9" fillId="6" borderId="74" xfId="0" applyFont="1" applyFill="1" applyBorder="1" applyAlignment="1" applyProtection="1">
      <alignment horizontal="center" vertical="center" wrapText="1"/>
    </xf>
    <xf numFmtId="0" fontId="9" fillId="6" borderId="75" xfId="0" applyFont="1" applyFill="1" applyBorder="1" applyAlignment="1" applyProtection="1">
      <alignment horizontal="center" vertical="center" wrapText="1"/>
    </xf>
    <xf numFmtId="0" fontId="65" fillId="6" borderId="0" xfId="0" applyFont="1" applyFill="1" applyBorder="1" applyAlignment="1">
      <alignment horizontal="left" vertical="center"/>
    </xf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37" fillId="7" borderId="80" xfId="0" applyFont="1" applyFill="1" applyBorder="1" applyAlignment="1" applyProtection="1">
      <alignment horizontal="center" vertical="center" wrapText="1"/>
      <protection locked="0"/>
    </xf>
    <xf numFmtId="0" fontId="37" fillId="7" borderId="81" xfId="0" applyFont="1" applyFill="1" applyBorder="1" applyAlignment="1" applyProtection="1">
      <alignment horizontal="center" vertical="center" wrapText="1"/>
      <protection locked="0"/>
    </xf>
    <xf numFmtId="0" fontId="6" fillId="0" borderId="79" xfId="0" applyFont="1" applyBorder="1" applyAlignment="1" applyProtection="1">
      <alignment horizontal="center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2" fontId="16" fillId="0" borderId="22" xfId="0" applyNumberFormat="1" applyFont="1" applyBorder="1" applyAlignment="1" applyProtection="1">
      <alignment horizontal="center" vertical="center"/>
    </xf>
    <xf numFmtId="2" fontId="16" fillId="0" borderId="21" xfId="0" applyNumberFormat="1" applyFont="1" applyBorder="1" applyAlignment="1" applyProtection="1">
      <alignment horizontal="center" vertical="center"/>
    </xf>
    <xf numFmtId="2" fontId="16" fillId="0" borderId="23" xfId="0" applyNumberFormat="1" applyFont="1" applyBorder="1" applyAlignment="1" applyProtection="1">
      <alignment horizontal="center" vertical="center"/>
    </xf>
    <xf numFmtId="0" fontId="16" fillId="0" borderId="56" xfId="0" applyFont="1" applyFill="1" applyBorder="1" applyAlignment="1" applyProtection="1">
      <alignment vertical="center" wrapText="1"/>
    </xf>
    <xf numFmtId="0" fontId="16" fillId="0" borderId="38" xfId="0" applyFont="1" applyFill="1" applyBorder="1" applyAlignment="1" applyProtection="1">
      <alignment vertical="center" wrapText="1"/>
    </xf>
    <xf numFmtId="0" fontId="16" fillId="0" borderId="39" xfId="0" applyFont="1" applyFill="1" applyBorder="1" applyAlignment="1" applyProtection="1">
      <alignment vertical="center" wrapText="1"/>
    </xf>
    <xf numFmtId="2" fontId="16" fillId="0" borderId="22" xfId="0" applyNumberFormat="1" applyFont="1" applyFill="1" applyBorder="1" applyAlignment="1" applyProtection="1">
      <alignment horizontal="center" vertical="center"/>
    </xf>
    <xf numFmtId="2" fontId="16" fillId="0" borderId="21" xfId="0" applyNumberFormat="1" applyFont="1" applyFill="1" applyBorder="1" applyAlignment="1" applyProtection="1">
      <alignment horizontal="center" vertical="center"/>
    </xf>
    <xf numFmtId="2" fontId="16" fillId="0" borderId="23" xfId="0" applyNumberFormat="1" applyFont="1" applyFill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83" xfId="0" applyFont="1" applyBorder="1" applyAlignment="1" applyProtection="1">
      <alignment horizontal="center" vertical="center"/>
    </xf>
    <xf numFmtId="0" fontId="9" fillId="0" borderId="73" xfId="0" applyFont="1" applyFill="1" applyBorder="1" applyAlignment="1" applyProtection="1">
      <alignment horizontal="center" vertical="center" textRotation="90" wrapText="1"/>
    </xf>
    <xf numFmtId="0" fontId="38" fillId="0" borderId="8" xfId="0" applyFont="1" applyFill="1" applyBorder="1" applyAlignment="1" applyProtection="1">
      <alignment horizontal="center" vertical="center" textRotation="90" wrapText="1"/>
    </xf>
    <xf numFmtId="0" fontId="38" fillId="0" borderId="4" xfId="0" applyFont="1" applyFill="1" applyBorder="1" applyAlignment="1" applyProtection="1">
      <alignment horizontal="center" vertical="center" textRotation="90" wrapText="1"/>
    </xf>
    <xf numFmtId="0" fontId="16" fillId="0" borderId="60" xfId="0" applyFont="1" applyFill="1" applyBorder="1" applyAlignment="1" applyProtection="1">
      <alignment horizontal="center" vertical="center" wrapText="1"/>
    </xf>
    <xf numFmtId="0" fontId="16" fillId="0" borderId="47" xfId="0" applyFont="1" applyFill="1" applyBorder="1" applyAlignment="1" applyProtection="1">
      <alignment horizontal="center" vertical="center" wrapText="1"/>
    </xf>
    <xf numFmtId="0" fontId="16" fillId="0" borderId="34" xfId="0" applyFont="1" applyFill="1" applyBorder="1" applyAlignment="1" applyProtection="1">
      <alignment horizontal="center" vertical="center" wrapText="1"/>
    </xf>
    <xf numFmtId="0" fontId="16" fillId="0" borderId="24" xfId="0" applyFont="1" applyFill="1" applyBorder="1" applyAlignment="1" applyProtection="1">
      <alignment horizontal="center" vertical="center" wrapText="1"/>
    </xf>
    <xf numFmtId="0" fontId="16" fillId="0" borderId="19" xfId="0" applyFont="1" applyFill="1" applyBorder="1" applyAlignment="1" applyProtection="1">
      <alignment horizontal="center" vertical="center" wrapText="1"/>
    </xf>
    <xf numFmtId="0" fontId="9" fillId="0" borderId="72" xfId="0" applyFont="1" applyFill="1" applyBorder="1" applyAlignment="1" applyProtection="1">
      <alignment horizontal="left" vertical="center"/>
    </xf>
    <xf numFmtId="0" fontId="9" fillId="0" borderId="74" xfId="0" applyFont="1" applyFill="1" applyBorder="1" applyAlignment="1" applyProtection="1">
      <alignment horizontal="left" vertical="center"/>
    </xf>
    <xf numFmtId="0" fontId="9" fillId="0" borderId="75" xfId="0" applyFont="1" applyFill="1" applyBorder="1" applyAlignment="1" applyProtection="1">
      <alignment horizontal="left" vertical="center"/>
    </xf>
    <xf numFmtId="0" fontId="9" fillId="0" borderId="72" xfId="0" applyFont="1" applyFill="1" applyBorder="1" applyAlignment="1" applyProtection="1">
      <alignment horizontal="left" vertical="center" wrapText="1"/>
    </xf>
    <xf numFmtId="0" fontId="9" fillId="0" borderId="74" xfId="0" applyFont="1" applyFill="1" applyBorder="1" applyAlignment="1" applyProtection="1">
      <alignment horizontal="left" vertical="center" wrapText="1"/>
    </xf>
    <xf numFmtId="0" fontId="9" fillId="0" borderId="75" xfId="0" applyFont="1" applyFill="1" applyBorder="1" applyAlignment="1" applyProtection="1">
      <alignment horizontal="left" vertical="center" wrapText="1"/>
    </xf>
    <xf numFmtId="0" fontId="9" fillId="0" borderId="48" xfId="0" applyFont="1" applyFill="1" applyBorder="1" applyAlignment="1" applyProtection="1">
      <alignment horizontal="center" vertical="center" textRotation="90" wrapText="1"/>
    </xf>
    <xf numFmtId="0" fontId="9" fillId="0" borderId="59" xfId="0" applyFont="1" applyFill="1" applyBorder="1" applyAlignment="1" applyProtection="1">
      <alignment horizontal="center" vertical="center" textRotation="90" wrapText="1"/>
    </xf>
    <xf numFmtId="0" fontId="6" fillId="0" borderId="74" xfId="0" applyFont="1" applyBorder="1" applyAlignment="1" applyProtection="1">
      <alignment horizontal="center" vertical="center"/>
    </xf>
    <xf numFmtId="0" fontId="9" fillId="0" borderId="74" xfId="0" applyFont="1" applyFill="1" applyBorder="1" applyAlignment="1" applyProtection="1">
      <alignment horizontal="center" vertical="center" textRotation="90" wrapText="1"/>
    </xf>
    <xf numFmtId="0" fontId="38" fillId="0" borderId="74" xfId="0" applyFont="1" applyFill="1" applyBorder="1" applyAlignment="1" applyProtection="1">
      <alignment horizontal="center" vertical="center" textRotation="90" wrapText="1"/>
    </xf>
    <xf numFmtId="0" fontId="16" fillId="0" borderId="7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 wrapText="1"/>
    </xf>
    <xf numFmtId="0" fontId="9" fillId="0" borderId="57" xfId="0" applyFont="1" applyFill="1" applyBorder="1" applyAlignment="1" applyProtection="1">
      <alignment horizontal="left" vertical="center" wrapText="1"/>
    </xf>
    <xf numFmtId="0" fontId="9" fillId="0" borderId="31" xfId="0" applyFont="1" applyFill="1" applyBorder="1" applyAlignment="1" applyProtection="1">
      <alignment horizontal="left" vertical="center" wrapText="1"/>
    </xf>
    <xf numFmtId="0" fontId="9" fillId="0" borderId="52" xfId="0" applyFont="1" applyFill="1" applyBorder="1" applyAlignment="1" applyProtection="1">
      <alignment horizontal="left" vertical="center" wrapText="1"/>
    </xf>
    <xf numFmtId="0" fontId="9" fillId="0" borderId="74" xfId="0" applyFont="1" applyBorder="1" applyAlignment="1" applyProtection="1">
      <alignment horizontal="center" vertical="center" textRotation="90" wrapText="1"/>
    </xf>
    <xf numFmtId="0" fontId="9" fillId="0" borderId="67" xfId="0" applyFont="1" applyBorder="1" applyAlignment="1" applyProtection="1">
      <alignment horizontal="center" vertical="center" textRotation="90" wrapText="1"/>
    </xf>
    <xf numFmtId="0" fontId="9" fillId="0" borderId="48" xfId="0" applyFont="1" applyBorder="1" applyAlignment="1" applyProtection="1">
      <alignment horizontal="center" vertical="center" textRotation="90" wrapText="1"/>
    </xf>
    <xf numFmtId="0" fontId="9" fillId="0" borderId="59" xfId="0" applyFont="1" applyBorder="1" applyAlignment="1" applyProtection="1">
      <alignment horizontal="center" vertical="center" textRotation="90" wrapText="1"/>
    </xf>
    <xf numFmtId="0" fontId="16" fillId="0" borderId="60" xfId="0" applyFont="1" applyFill="1" applyBorder="1" applyAlignment="1" applyProtection="1">
      <alignment horizontal="left" vertical="center" wrapText="1"/>
    </xf>
    <xf numFmtId="0" fontId="16" fillId="0" borderId="47" xfId="0" applyFont="1" applyFill="1" applyBorder="1" applyAlignment="1" applyProtection="1">
      <alignment horizontal="left" vertical="center" wrapText="1"/>
    </xf>
    <xf numFmtId="0" fontId="16" fillId="0" borderId="58" xfId="0" applyFont="1" applyFill="1" applyBorder="1" applyAlignment="1" applyProtection="1">
      <alignment horizontal="left" vertical="center" wrapText="1"/>
    </xf>
    <xf numFmtId="0" fontId="9" fillId="6" borderId="72" xfId="0" applyFont="1" applyFill="1" applyBorder="1" applyAlignment="1">
      <alignment horizontal="left" vertical="center" wrapText="1"/>
    </xf>
    <xf numFmtId="0" fontId="9" fillId="6" borderId="74" xfId="0" applyFont="1" applyFill="1" applyBorder="1" applyAlignment="1">
      <alignment horizontal="left" vertical="center" wrapText="1"/>
    </xf>
    <xf numFmtId="0" fontId="9" fillId="6" borderId="75" xfId="0" applyFont="1" applyFill="1" applyBorder="1" applyAlignment="1">
      <alignment horizontal="left" vertical="center" wrapText="1"/>
    </xf>
    <xf numFmtId="0" fontId="6" fillId="6" borderId="79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16" fillId="6" borderId="70" xfId="0" applyFont="1" applyFill="1" applyBorder="1" applyAlignment="1">
      <alignment horizontal="left" vertical="center" wrapText="1"/>
    </xf>
    <xf numFmtId="0" fontId="16" fillId="6" borderId="83" xfId="0" applyFont="1" applyFill="1" applyBorder="1" applyAlignment="1">
      <alignment horizontal="left" vertical="center" wrapText="1"/>
    </xf>
    <xf numFmtId="0" fontId="16" fillId="6" borderId="71" xfId="0" applyFont="1" applyFill="1" applyBorder="1" applyAlignment="1">
      <alignment horizontal="left" vertical="center" wrapText="1"/>
    </xf>
    <xf numFmtId="0" fontId="16" fillId="6" borderId="19" xfId="0" applyFont="1" applyFill="1" applyBorder="1" applyAlignment="1">
      <alignment horizontal="left" vertical="center" wrapText="1"/>
    </xf>
    <xf numFmtId="0" fontId="16" fillId="6" borderId="0" xfId="0" applyFont="1" applyFill="1" applyBorder="1" applyAlignment="1">
      <alignment horizontal="left" vertical="center" wrapText="1"/>
    </xf>
    <xf numFmtId="0" fontId="16" fillId="6" borderId="18" xfId="0" applyFont="1" applyFill="1" applyBorder="1" applyAlignment="1">
      <alignment horizontal="left" vertical="center" wrapText="1"/>
    </xf>
    <xf numFmtId="0" fontId="16" fillId="6" borderId="57" xfId="0" applyFont="1" applyFill="1" applyBorder="1" applyAlignment="1">
      <alignment horizontal="left" vertical="center" wrapText="1"/>
    </xf>
    <xf numFmtId="0" fontId="16" fillId="6" borderId="31" xfId="0" applyFont="1" applyFill="1" applyBorder="1" applyAlignment="1">
      <alignment horizontal="left" vertical="center" wrapText="1"/>
    </xf>
    <xf numFmtId="0" fontId="16" fillId="6" borderId="52" xfId="0" applyFont="1" applyFill="1" applyBorder="1" applyAlignment="1">
      <alignment horizontal="left" vertical="center" wrapText="1"/>
    </xf>
    <xf numFmtId="0" fontId="37" fillId="6" borderId="80" xfId="0" applyFont="1" applyFill="1" applyBorder="1" applyAlignment="1" applyProtection="1">
      <alignment horizontal="center" vertical="center"/>
    </xf>
    <xf numFmtId="0" fontId="37" fillId="6" borderId="81" xfId="0" applyFont="1" applyFill="1" applyBorder="1" applyAlignment="1" applyProtection="1">
      <alignment horizontal="center" vertical="center"/>
    </xf>
    <xf numFmtId="0" fontId="37" fillId="6" borderId="2" xfId="0" applyFont="1" applyFill="1" applyBorder="1" applyAlignment="1" applyProtection="1">
      <alignment horizontal="center" vertical="center"/>
    </xf>
    <xf numFmtId="0" fontId="37" fillId="6" borderId="1" xfId="0" applyFont="1" applyFill="1" applyBorder="1" applyAlignment="1" applyProtection="1">
      <alignment horizontal="center" vertical="center"/>
    </xf>
    <xf numFmtId="0" fontId="16" fillId="6" borderId="0" xfId="0" applyFont="1" applyFill="1" applyBorder="1" applyAlignment="1">
      <alignment horizontal="left" vertical="top" wrapText="1"/>
    </xf>
    <xf numFmtId="0" fontId="9" fillId="0" borderId="72" xfId="0" applyFont="1" applyBorder="1" applyAlignment="1" applyProtection="1">
      <alignment horizontal="left" vertical="center" wrapText="1"/>
    </xf>
    <xf numFmtId="0" fontId="9" fillId="0" borderId="74" xfId="0" applyFont="1" applyBorder="1" applyAlignment="1" applyProtection="1">
      <alignment horizontal="left" vertical="center" wrapText="1"/>
    </xf>
    <xf numFmtId="0" fontId="9" fillId="0" borderId="75" xfId="0" applyFont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left" vertical="center" wrapText="1"/>
    </xf>
    <xf numFmtId="0" fontId="16" fillId="0" borderId="29" xfId="0" applyFont="1" applyBorder="1" applyAlignment="1" applyProtection="1">
      <alignment horizontal="left" vertical="center"/>
    </xf>
    <xf numFmtId="0" fontId="16" fillId="0" borderId="6" xfId="0" applyFont="1" applyBorder="1" applyAlignment="1" applyProtection="1">
      <alignment horizontal="left" vertical="center" wrapText="1"/>
    </xf>
    <xf numFmtId="0" fontId="16" fillId="0" borderId="6" xfId="0" applyFont="1" applyBorder="1" applyAlignment="1" applyProtection="1">
      <alignment horizontal="left" vertical="center"/>
    </xf>
    <xf numFmtId="0" fontId="16" fillId="0" borderId="60" xfId="0" applyFont="1" applyBorder="1" applyAlignment="1" applyProtection="1">
      <alignment horizontal="left" vertical="center" wrapText="1"/>
    </xf>
    <xf numFmtId="0" fontId="16" fillId="0" borderId="47" xfId="0" applyFont="1" applyBorder="1" applyAlignment="1" applyProtection="1">
      <alignment horizontal="left" vertical="center" wrapText="1"/>
    </xf>
    <xf numFmtId="0" fontId="16" fillId="0" borderId="58" xfId="0" applyFont="1" applyBorder="1" applyAlignment="1" applyProtection="1">
      <alignment horizontal="left" vertical="center" wrapText="1"/>
    </xf>
    <xf numFmtId="0" fontId="16" fillId="0" borderId="69" xfId="0" applyFont="1" applyBorder="1" applyAlignment="1" applyProtection="1">
      <alignment horizontal="left" vertical="center" wrapText="1"/>
    </xf>
    <xf numFmtId="0" fontId="16" fillId="0" borderId="77" xfId="0" applyFont="1" applyBorder="1" applyAlignment="1" applyProtection="1">
      <alignment horizontal="left" vertical="center" wrapText="1"/>
    </xf>
    <xf numFmtId="0" fontId="16" fillId="0" borderId="78" xfId="0" applyFont="1" applyBorder="1" applyAlignment="1" applyProtection="1">
      <alignment horizontal="left" vertical="center" wrapText="1"/>
    </xf>
    <xf numFmtId="0" fontId="16" fillId="0" borderId="79" xfId="0" applyFont="1" applyBorder="1" applyAlignment="1" applyProtection="1">
      <alignment horizontal="left" vertical="center" wrapText="1"/>
    </xf>
    <xf numFmtId="0" fontId="16" fillId="0" borderId="7" xfId="0" applyFont="1" applyBorder="1" applyAlignment="1" applyProtection="1">
      <alignment horizontal="left" vertical="center" wrapText="1"/>
    </xf>
    <xf numFmtId="0" fontId="16" fillId="0" borderId="3" xfId="0" applyFont="1" applyBorder="1" applyAlignment="1" applyProtection="1">
      <alignment horizontal="left" vertical="center" wrapText="1"/>
    </xf>
    <xf numFmtId="0" fontId="16" fillId="0" borderId="7" xfId="0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vertical="center"/>
    </xf>
    <xf numFmtId="0" fontId="9" fillId="0" borderId="67" xfId="0" applyFont="1" applyFill="1" applyBorder="1" applyAlignment="1" applyProtection="1">
      <alignment horizontal="center" vertical="center" textRotation="90" wrapText="1"/>
    </xf>
    <xf numFmtId="0" fontId="38" fillId="0" borderId="48" xfId="0" applyFont="1" applyFill="1" applyBorder="1" applyAlignment="1" applyProtection="1">
      <alignment horizontal="center" vertical="center" textRotation="90" wrapText="1"/>
    </xf>
    <xf numFmtId="0" fontId="38" fillId="0" borderId="59" xfId="0" applyFont="1" applyFill="1" applyBorder="1" applyAlignment="1" applyProtection="1">
      <alignment horizontal="center" vertical="center" textRotation="90" wrapText="1"/>
    </xf>
    <xf numFmtId="0" fontId="16" fillId="0" borderId="79" xfId="0" applyFont="1" applyFill="1" applyBorder="1" applyAlignment="1" applyProtection="1">
      <alignment vertical="center" wrapText="1"/>
    </xf>
    <xf numFmtId="0" fontId="16" fillId="0" borderId="81" xfId="0" applyFont="1" applyFill="1" applyBorder="1" applyAlignment="1" applyProtection="1">
      <alignment vertical="center" wrapText="1"/>
    </xf>
    <xf numFmtId="0" fontId="16" fillId="6" borderId="7" xfId="0" applyFont="1" applyFill="1" applyBorder="1" applyAlignment="1" applyProtection="1">
      <alignment vertical="center"/>
    </xf>
    <xf numFmtId="0" fontId="16" fillId="6" borderId="5" xfId="0" applyFont="1" applyFill="1" applyBorder="1" applyAlignment="1" applyProtection="1">
      <alignment vertical="center"/>
    </xf>
    <xf numFmtId="0" fontId="16" fillId="0" borderId="22" xfId="0" applyFont="1" applyFill="1" applyBorder="1" applyAlignment="1" applyProtection="1">
      <alignment horizontal="left" vertical="center"/>
    </xf>
    <xf numFmtId="0" fontId="16" fillId="0" borderId="23" xfId="0" applyFont="1" applyFill="1" applyBorder="1" applyAlignment="1" applyProtection="1">
      <alignment horizontal="left" vertical="center"/>
    </xf>
    <xf numFmtId="0" fontId="16" fillId="0" borderId="28" xfId="0" applyFont="1" applyFill="1" applyBorder="1" applyAlignment="1" applyProtection="1">
      <alignment horizontal="left" vertical="center"/>
    </xf>
    <xf numFmtId="0" fontId="16" fillId="0" borderId="45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15" fillId="6" borderId="0" xfId="0" applyFont="1" applyFill="1" applyBorder="1" applyAlignment="1" applyProtection="1">
      <alignment horizontal="left" vertical="center"/>
    </xf>
    <xf numFmtId="0" fontId="6" fillId="6" borderId="80" xfId="0" applyFont="1" applyFill="1" applyBorder="1" applyAlignment="1" applyProtection="1">
      <alignment horizontal="center" vertical="center"/>
    </xf>
    <xf numFmtId="0" fontId="6" fillId="6" borderId="2" xfId="0" applyFont="1" applyFill="1" applyBorder="1" applyAlignment="1" applyProtection="1">
      <alignment horizontal="center" vertical="center"/>
    </xf>
    <xf numFmtId="0" fontId="6" fillId="6" borderId="31" xfId="0" applyFont="1" applyFill="1" applyBorder="1" applyAlignment="1" applyProtection="1">
      <alignment horizontal="center" vertical="center"/>
    </xf>
    <xf numFmtId="0" fontId="17" fillId="6" borderId="79" xfId="0" applyFont="1" applyFill="1" applyBorder="1" applyAlignment="1" applyProtection="1">
      <alignment horizontal="left" vertical="center" wrapText="1"/>
    </xf>
    <xf numFmtId="0" fontId="17" fillId="6" borderId="80" xfId="0" applyFont="1" applyFill="1" applyBorder="1" applyAlignment="1" applyProtection="1">
      <alignment horizontal="left" vertical="center" wrapText="1"/>
    </xf>
    <xf numFmtId="0" fontId="25" fillId="6" borderId="7" xfId="0" applyFont="1" applyFill="1" applyBorder="1" applyAlignment="1" applyProtection="1">
      <alignment horizontal="left" vertical="center" wrapText="1"/>
    </xf>
    <xf numFmtId="0" fontId="25" fillId="6" borderId="6" xfId="0" applyFont="1" applyFill="1" applyBorder="1" applyAlignment="1" applyProtection="1">
      <alignment horizontal="left" vertical="center" wrapText="1"/>
    </xf>
    <xf numFmtId="0" fontId="25" fillId="6" borderId="3" xfId="0" applyFont="1" applyFill="1" applyBorder="1" applyAlignment="1" applyProtection="1">
      <alignment horizontal="left" vertical="center" wrapText="1"/>
    </xf>
    <xf numFmtId="0" fontId="25" fillId="6" borderId="2" xfId="0" applyFont="1" applyFill="1" applyBorder="1" applyAlignment="1" applyProtection="1">
      <alignment horizontal="left" vertical="center" wrapText="1"/>
    </xf>
    <xf numFmtId="0" fontId="6" fillId="6" borderId="79" xfId="0" applyFont="1" applyFill="1" applyBorder="1" applyAlignment="1" applyProtection="1">
      <alignment horizontal="left" vertical="center" wrapText="1"/>
    </xf>
    <xf numFmtId="0" fontId="6" fillId="6" borderId="80" xfId="0" applyFont="1" applyFill="1" applyBorder="1" applyAlignment="1" applyProtection="1">
      <alignment horizontal="left" vertical="center" wrapText="1"/>
    </xf>
    <xf numFmtId="0" fontId="6" fillId="7" borderId="3" xfId="0" applyFont="1" applyFill="1" applyBorder="1" applyAlignment="1" applyProtection="1">
      <alignment horizontal="left" vertical="center" wrapText="1"/>
      <protection locked="0"/>
    </xf>
    <xf numFmtId="0" fontId="6" fillId="7" borderId="2" xfId="0" applyFont="1" applyFill="1" applyBorder="1" applyAlignment="1" applyProtection="1">
      <alignment horizontal="left" vertical="center" wrapText="1"/>
      <protection locked="0"/>
    </xf>
    <xf numFmtId="0" fontId="6" fillId="0" borderId="69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16" fillId="6" borderId="7" xfId="0" applyFont="1" applyFill="1" applyBorder="1" applyAlignment="1" applyProtection="1">
      <alignment horizontal="left" vertical="center" wrapText="1"/>
    </xf>
    <xf numFmtId="0" fontId="16" fillId="6" borderId="6" xfId="0" applyFont="1" applyFill="1" applyBorder="1" applyAlignment="1" applyProtection="1">
      <alignment horizontal="left" vertical="center" wrapText="1"/>
    </xf>
    <xf numFmtId="0" fontId="16" fillId="6" borderId="3" xfId="0" applyFont="1" applyFill="1" applyBorder="1" applyAlignment="1" applyProtection="1">
      <alignment horizontal="left" vertical="center" wrapText="1"/>
    </xf>
    <xf numFmtId="0" fontId="16" fillId="6" borderId="2" xfId="0" applyFont="1" applyFill="1" applyBorder="1" applyAlignment="1" applyProtection="1">
      <alignment horizontal="left" vertical="center" wrapText="1"/>
    </xf>
    <xf numFmtId="0" fontId="9" fillId="0" borderId="72" xfId="0" applyFont="1" applyBorder="1" applyAlignment="1" applyProtection="1">
      <alignment horizontal="center" vertical="center"/>
    </xf>
    <xf numFmtId="0" fontId="9" fillId="0" borderId="74" xfId="0" applyFont="1" applyBorder="1" applyAlignment="1" applyProtection="1">
      <alignment horizontal="center" vertical="center"/>
    </xf>
    <xf numFmtId="0" fontId="9" fillId="0" borderId="75" xfId="0" applyFont="1" applyBorder="1" applyAlignment="1" applyProtection="1">
      <alignment horizontal="center" vertical="center"/>
    </xf>
    <xf numFmtId="0" fontId="39" fillId="0" borderId="33" xfId="0" applyFont="1" applyFill="1" applyBorder="1" applyAlignment="1" applyProtection="1">
      <alignment horizontal="center" vertical="center"/>
    </xf>
    <xf numFmtId="0" fontId="39" fillId="0" borderId="42" xfId="0" applyFont="1" applyFill="1" applyBorder="1" applyAlignment="1" applyProtection="1">
      <alignment horizontal="center" vertical="center"/>
    </xf>
    <xf numFmtId="0" fontId="39" fillId="0" borderId="45" xfId="0" applyFont="1" applyFill="1" applyBorder="1" applyAlignment="1" applyProtection="1">
      <alignment horizontal="center" vertical="center"/>
    </xf>
    <xf numFmtId="0" fontId="39" fillId="0" borderId="69" xfId="0" applyFont="1" applyFill="1" applyBorder="1" applyAlignment="1" applyProtection="1">
      <alignment horizontal="center" vertical="center"/>
    </xf>
    <xf numFmtId="0" fontId="39" fillId="0" borderId="77" xfId="0" applyFont="1" applyFill="1" applyBorder="1" applyAlignment="1" applyProtection="1">
      <alignment horizontal="center" vertical="center"/>
    </xf>
    <xf numFmtId="0" fontId="39" fillId="0" borderId="78" xfId="0" applyFont="1" applyFill="1" applyBorder="1" applyAlignment="1" applyProtection="1">
      <alignment horizontal="center" vertical="center"/>
    </xf>
    <xf numFmtId="0" fontId="6" fillId="6" borderId="74" xfId="0" applyFont="1" applyFill="1" applyBorder="1" applyAlignment="1" applyProtection="1">
      <alignment horizontal="left" vertical="center" wrapText="1"/>
    </xf>
    <xf numFmtId="0" fontId="6" fillId="6" borderId="75" xfId="0" applyFont="1" applyFill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center" vertical="center"/>
    </xf>
    <xf numFmtId="0" fontId="16" fillId="6" borderId="0" xfId="0" applyFont="1" applyFill="1" applyBorder="1" applyAlignment="1" applyProtection="1">
      <alignment horizontal="left" vertical="center" wrapText="1"/>
    </xf>
    <xf numFmtId="0" fontId="16" fillId="6" borderId="21" xfId="0" applyFont="1" applyFill="1" applyBorder="1" applyAlignment="1" applyProtection="1">
      <alignment horizontal="left" vertical="center" wrapText="1"/>
    </xf>
    <xf numFmtId="0" fontId="16" fillId="6" borderId="38" xfId="0" applyFont="1" applyFill="1" applyBorder="1" applyAlignment="1" applyProtection="1">
      <alignment horizontal="left" vertical="center" wrapText="1"/>
    </xf>
    <xf numFmtId="0" fontId="17" fillId="6" borderId="88" xfId="0" applyFont="1" applyFill="1" applyBorder="1" applyAlignment="1" applyProtection="1">
      <alignment horizontal="left" vertical="center" wrapText="1"/>
    </xf>
    <xf numFmtId="0" fontId="16" fillId="6" borderId="27" xfId="0" applyFont="1" applyFill="1" applyBorder="1" applyAlignment="1" applyProtection="1">
      <alignment horizontal="left" vertical="center" wrapText="1"/>
    </xf>
    <xf numFmtId="0" fontId="17" fillId="6" borderId="89" xfId="0" applyFont="1" applyFill="1" applyBorder="1" applyAlignment="1" applyProtection="1">
      <alignment horizontal="left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53" xfId="0" applyFont="1" applyFill="1" applyBorder="1" applyAlignment="1">
      <alignment horizontal="center" vertical="center"/>
    </xf>
    <xf numFmtId="0" fontId="16" fillId="6" borderId="24" xfId="0" applyFont="1" applyFill="1" applyBorder="1" applyAlignment="1" applyProtection="1">
      <alignment horizontal="center" vertical="center"/>
    </xf>
    <xf numFmtId="0" fontId="16" fillId="6" borderId="20" xfId="0" applyFont="1" applyFill="1" applyBorder="1" applyAlignment="1" applyProtection="1">
      <alignment horizontal="center" vertical="center"/>
    </xf>
    <xf numFmtId="0" fontId="16" fillId="6" borderId="25" xfId="0" applyFont="1" applyFill="1" applyBorder="1" applyAlignment="1" applyProtection="1">
      <alignment horizontal="center" vertical="center"/>
    </xf>
    <xf numFmtId="0" fontId="16" fillId="6" borderId="19" xfId="0" applyFont="1" applyFill="1" applyBorder="1" applyAlignment="1" applyProtection="1">
      <alignment horizontal="center" vertical="center"/>
    </xf>
    <xf numFmtId="0" fontId="16" fillId="6" borderId="0" xfId="0" applyFont="1" applyFill="1" applyBorder="1" applyAlignment="1" applyProtection="1">
      <alignment horizontal="center" vertical="center"/>
    </xf>
    <xf numFmtId="0" fontId="16" fillId="6" borderId="18" xfId="0" applyFont="1" applyFill="1" applyBorder="1" applyAlignment="1" applyProtection="1">
      <alignment horizontal="center" vertical="center"/>
    </xf>
    <xf numFmtId="0" fontId="16" fillId="6" borderId="43" xfId="0" applyFont="1" applyFill="1" applyBorder="1" applyAlignment="1" applyProtection="1">
      <alignment horizontal="center" vertical="center"/>
    </xf>
    <xf numFmtId="0" fontId="16" fillId="6" borderId="36" xfId="0" applyFont="1" applyFill="1" applyBorder="1" applyAlignment="1" applyProtection="1">
      <alignment horizontal="center" vertical="center"/>
    </xf>
    <xf numFmtId="0" fontId="16" fillId="6" borderId="49" xfId="0" applyFont="1" applyFill="1" applyBorder="1" applyAlignment="1" applyProtection="1">
      <alignment horizontal="center" vertical="center"/>
    </xf>
    <xf numFmtId="0" fontId="16" fillId="6" borderId="37" xfId="0" applyFont="1" applyFill="1" applyBorder="1" applyAlignment="1" applyProtection="1">
      <alignment horizontal="left" vertical="center" wrapText="1"/>
    </xf>
    <xf numFmtId="0" fontId="16" fillId="6" borderId="56" xfId="0" applyFont="1" applyFill="1" applyBorder="1" applyAlignment="1" applyProtection="1">
      <alignment horizontal="left" vertical="center" wrapText="1"/>
    </xf>
    <xf numFmtId="0" fontId="39" fillId="6" borderId="0" xfId="0" applyFont="1" applyFill="1" applyBorder="1" applyAlignment="1">
      <alignment horizontal="left" vertical="center" wrapText="1"/>
    </xf>
    <xf numFmtId="0" fontId="15" fillId="6" borderId="6" xfId="0" applyFont="1" applyFill="1" applyBorder="1" applyAlignment="1">
      <alignment horizontal="left" wrapText="1"/>
    </xf>
    <xf numFmtId="2" fontId="16" fillId="6" borderId="33" xfId="0" applyNumberFormat="1" applyFont="1" applyFill="1" applyBorder="1" applyAlignment="1" applyProtection="1">
      <alignment horizontal="center" vertical="center"/>
    </xf>
    <xf numFmtId="2" fontId="16" fillId="6" borderId="42" xfId="0" applyNumberFormat="1" applyFont="1" applyFill="1" applyBorder="1" applyAlignment="1" applyProtection="1">
      <alignment horizontal="center" vertical="center"/>
    </xf>
    <xf numFmtId="2" fontId="16" fillId="6" borderId="45" xfId="0" applyNumberFormat="1" applyFont="1" applyFill="1" applyBorder="1" applyAlignment="1" applyProtection="1">
      <alignment horizontal="center" vertical="center"/>
    </xf>
    <xf numFmtId="0" fontId="6" fillId="6" borderId="69" xfId="0" applyFont="1" applyFill="1" applyBorder="1" applyAlignment="1" applyProtection="1">
      <alignment horizontal="left" vertical="center" wrapText="1"/>
    </xf>
    <xf numFmtId="0" fontId="46" fillId="6" borderId="7" xfId="0" applyFont="1" applyFill="1" applyBorder="1" applyAlignment="1" applyProtection="1">
      <alignment horizontal="left" vertical="center" wrapText="1"/>
    </xf>
    <xf numFmtId="0" fontId="46" fillId="6" borderId="6" xfId="0" applyFont="1" applyFill="1" applyBorder="1" applyAlignment="1" applyProtection="1">
      <alignment horizontal="left" vertical="center" wrapText="1"/>
    </xf>
    <xf numFmtId="0" fontId="46" fillId="6" borderId="27" xfId="0" applyFont="1" applyFill="1" applyBorder="1" applyAlignment="1" applyProtection="1">
      <alignment horizontal="left" vertical="center" wrapText="1"/>
    </xf>
    <xf numFmtId="9" fontId="46" fillId="7" borderId="27" xfId="32" applyFont="1" applyFill="1" applyBorder="1" applyAlignment="1" applyProtection="1">
      <alignment horizontal="center" vertical="center" wrapText="1"/>
      <protection locked="0"/>
    </xf>
    <xf numFmtId="9" fontId="46" fillId="7" borderId="21" xfId="32" applyFont="1" applyFill="1" applyBorder="1" applyAlignment="1" applyProtection="1">
      <alignment horizontal="center" vertical="center" wrapText="1"/>
      <protection locked="0"/>
    </xf>
    <xf numFmtId="9" fontId="46" fillId="7" borderId="23" xfId="32" applyFont="1" applyFill="1" applyBorder="1" applyAlignment="1" applyProtection="1">
      <alignment horizontal="center" vertical="center" wrapText="1"/>
      <protection locked="0"/>
    </xf>
    <xf numFmtId="0" fontId="9" fillId="6" borderId="61" xfId="0" applyFont="1" applyFill="1" applyBorder="1" applyAlignment="1" applyProtection="1">
      <alignment horizontal="left" vertical="center" wrapText="1"/>
    </xf>
    <xf numFmtId="0" fontId="9" fillId="6" borderId="62" xfId="0" applyFont="1" applyFill="1" applyBorder="1" applyAlignment="1" applyProtection="1">
      <alignment horizontal="left" vertical="center" wrapText="1"/>
    </xf>
    <xf numFmtId="0" fontId="9" fillId="6" borderId="88" xfId="0" applyFont="1" applyFill="1" applyBorder="1" applyAlignment="1" applyProtection="1">
      <alignment horizontal="left" vertical="center" wrapText="1"/>
    </xf>
    <xf numFmtId="0" fontId="16" fillId="6" borderId="28" xfId="0" applyFont="1" applyFill="1" applyBorder="1" applyAlignment="1" applyProtection="1">
      <alignment horizontal="left" vertical="center"/>
    </xf>
    <xf numFmtId="0" fontId="16" fillId="6" borderId="42" xfId="0" applyFont="1" applyFill="1" applyBorder="1" applyAlignment="1" applyProtection="1">
      <alignment horizontal="left" vertical="center"/>
    </xf>
    <xf numFmtId="0" fontId="17" fillId="6" borderId="7" xfId="0" applyFont="1" applyFill="1" applyBorder="1" applyAlignment="1" applyProtection="1">
      <alignment horizontal="left" vertical="center" wrapText="1"/>
    </xf>
    <xf numFmtId="0" fontId="17" fillId="6" borderId="6" xfId="0" applyFont="1" applyFill="1" applyBorder="1" applyAlignment="1" applyProtection="1">
      <alignment horizontal="left" vertical="center" wrapText="1"/>
    </xf>
    <xf numFmtId="0" fontId="17" fillId="6" borderId="27" xfId="0" applyFont="1" applyFill="1" applyBorder="1" applyAlignment="1" applyProtection="1">
      <alignment horizontal="left" vertical="center" wrapText="1"/>
    </xf>
    <xf numFmtId="0" fontId="17" fillId="6" borderId="33" xfId="0" applyFont="1" applyFill="1" applyBorder="1" applyAlignment="1" applyProtection="1">
      <alignment horizontal="left" vertical="center" wrapText="1"/>
    </xf>
    <xf numFmtId="0" fontId="17" fillId="6" borderId="42" xfId="0" applyFont="1" applyFill="1" applyBorder="1" applyAlignment="1" applyProtection="1">
      <alignment horizontal="left" vertical="center" wrapText="1"/>
    </xf>
    <xf numFmtId="0" fontId="25" fillId="6" borderId="27" xfId="0" applyFont="1" applyFill="1" applyBorder="1" applyAlignment="1" applyProtection="1">
      <alignment horizontal="left" vertical="center" wrapText="1"/>
    </xf>
    <xf numFmtId="0" fontId="25" fillId="6" borderId="21" xfId="0" applyFont="1" applyFill="1" applyBorder="1" applyAlignment="1" applyProtection="1">
      <alignment horizontal="left" vertical="center" wrapText="1"/>
    </xf>
    <xf numFmtId="0" fontId="25" fillId="6" borderId="23" xfId="0" applyFont="1" applyFill="1" applyBorder="1" applyAlignment="1" applyProtection="1">
      <alignment horizontal="left" vertical="center" wrapText="1"/>
    </xf>
    <xf numFmtId="0" fontId="25" fillId="6" borderId="33" xfId="0" applyFont="1" applyFill="1" applyBorder="1" applyAlignment="1" applyProtection="1">
      <alignment horizontal="left" vertical="center" wrapText="1"/>
    </xf>
    <xf numFmtId="0" fontId="25" fillId="6" borderId="42" xfId="0" applyFont="1" applyFill="1" applyBorder="1" applyAlignment="1" applyProtection="1">
      <alignment horizontal="left" vertical="center" wrapText="1"/>
    </xf>
    <xf numFmtId="0" fontId="25" fillId="6" borderId="45" xfId="0" applyFont="1" applyFill="1" applyBorder="1" applyAlignment="1" applyProtection="1">
      <alignment horizontal="left" vertical="center" wrapText="1"/>
    </xf>
    <xf numFmtId="0" fontId="29" fillId="6" borderId="83" xfId="0" applyFont="1" applyFill="1" applyBorder="1" applyAlignment="1" applyProtection="1">
      <alignment horizontal="left" vertical="center"/>
    </xf>
    <xf numFmtId="0" fontId="17" fillId="6" borderId="80" xfId="0" applyFont="1" applyFill="1" applyBorder="1" applyAlignment="1" applyProtection="1">
      <alignment horizontal="center" vertical="center" wrapText="1"/>
    </xf>
    <xf numFmtId="0" fontId="17" fillId="6" borderId="6" xfId="0" applyFont="1" applyFill="1" applyBorder="1" applyAlignment="1" applyProtection="1">
      <alignment horizontal="center" vertical="center" wrapText="1"/>
    </xf>
    <xf numFmtId="0" fontId="17" fillId="6" borderId="2" xfId="0" applyFont="1" applyFill="1" applyBorder="1" applyAlignment="1" applyProtection="1">
      <alignment horizontal="center" vertical="center" wrapText="1"/>
    </xf>
    <xf numFmtId="0" fontId="6" fillId="6" borderId="31" xfId="0" applyFont="1" applyFill="1" applyBorder="1" applyAlignment="1" applyProtection="1">
      <alignment horizontal="left" vertical="center" wrapText="1"/>
    </xf>
    <xf numFmtId="0" fontId="40" fillId="6" borderId="80" xfId="0" applyFont="1" applyFill="1" applyBorder="1" applyAlignment="1" applyProtection="1">
      <alignment horizontal="center" vertical="center" wrapText="1"/>
    </xf>
    <xf numFmtId="0" fontId="40" fillId="6" borderId="81" xfId="0" applyFont="1" applyFill="1" applyBorder="1" applyAlignment="1" applyProtection="1">
      <alignment horizontal="center" vertical="center" wrapText="1"/>
    </xf>
    <xf numFmtId="0" fontId="17" fillId="0" borderId="80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50" fillId="6" borderId="6" xfId="0" applyFont="1" applyFill="1" applyBorder="1" applyAlignment="1" applyProtection="1">
      <alignment horizontal="center" vertical="center" wrapText="1"/>
    </xf>
    <xf numFmtId="0" fontId="25" fillId="6" borderId="73" xfId="0" applyFont="1" applyFill="1" applyBorder="1" applyAlignment="1" applyProtection="1">
      <alignment vertical="center" wrapText="1"/>
    </xf>
    <xf numFmtId="0" fontId="25" fillId="6" borderId="8" xfId="0" applyFont="1" applyFill="1" applyBorder="1" applyAlignment="1" applyProtection="1">
      <alignment vertical="center" wrapText="1"/>
    </xf>
    <xf numFmtId="0" fontId="25" fillId="6" borderId="86" xfId="0" applyFont="1" applyFill="1" applyBorder="1" applyAlignment="1" applyProtection="1">
      <alignment vertical="center" wrapText="1"/>
    </xf>
    <xf numFmtId="0" fontId="25" fillId="6" borderId="69" xfId="0" applyFont="1" applyFill="1" applyBorder="1" applyAlignment="1" applyProtection="1">
      <alignment horizontal="left" vertical="center" wrapText="1"/>
    </xf>
    <xf numFmtId="0" fontId="25" fillId="6" borderId="77" xfId="0" applyFont="1" applyFill="1" applyBorder="1" applyAlignment="1" applyProtection="1">
      <alignment horizontal="left" vertical="center" wrapText="1"/>
    </xf>
    <xf numFmtId="0" fontId="25" fillId="6" borderId="78" xfId="0" applyFont="1" applyFill="1" applyBorder="1" applyAlignment="1" applyProtection="1">
      <alignment horizontal="left" vertical="center" wrapText="1"/>
    </xf>
    <xf numFmtId="0" fontId="25" fillId="6" borderId="83" xfId="0" applyFont="1" applyFill="1" applyBorder="1" applyAlignment="1" applyProtection="1">
      <alignment horizontal="left" vertical="center"/>
    </xf>
    <xf numFmtId="0" fontId="25" fillId="6" borderId="6" xfId="0" applyFont="1" applyFill="1" applyBorder="1" applyAlignment="1" applyProtection="1">
      <alignment horizontal="center" vertical="center" wrapText="1"/>
    </xf>
    <xf numFmtId="0" fontId="25" fillId="6" borderId="38" xfId="0" applyFont="1" applyFill="1" applyBorder="1" applyAlignment="1" applyProtection="1">
      <alignment horizontal="center" vertical="center" wrapText="1"/>
    </xf>
    <xf numFmtId="0" fontId="40" fillId="6" borderId="70" xfId="0" applyFont="1" applyFill="1" applyBorder="1" applyAlignment="1" applyProtection="1">
      <alignment horizontal="center" vertical="center" wrapText="1"/>
    </xf>
    <xf numFmtId="0" fontId="40" fillId="6" borderId="83" xfId="0" applyFont="1" applyFill="1" applyBorder="1" applyAlignment="1" applyProtection="1">
      <alignment horizontal="center" vertical="center" wrapText="1"/>
    </xf>
    <xf numFmtId="0" fontId="40" fillId="6" borderId="43" xfId="0" applyFont="1" applyFill="1" applyBorder="1" applyAlignment="1" applyProtection="1">
      <alignment horizontal="center" vertical="center" wrapText="1"/>
    </xf>
    <xf numFmtId="0" fontId="40" fillId="6" borderId="36" xfId="0" applyFont="1" applyFill="1" applyBorder="1" applyAlignment="1" applyProtection="1">
      <alignment horizontal="center" vertical="center" wrapText="1"/>
    </xf>
    <xf numFmtId="0" fontId="40" fillId="6" borderId="64" xfId="0" applyFont="1" applyFill="1" applyBorder="1" applyAlignment="1" applyProtection="1">
      <alignment horizontal="center" vertical="center" wrapText="1"/>
    </xf>
    <xf numFmtId="0" fontId="40" fillId="6" borderId="56" xfId="0" applyFont="1" applyFill="1" applyBorder="1" applyAlignment="1" applyProtection="1">
      <alignment horizontal="center" vertical="center" wrapText="1"/>
    </xf>
    <xf numFmtId="0" fontId="9" fillId="0" borderId="72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39" fillId="0" borderId="80" xfId="0" applyFont="1" applyBorder="1" applyAlignment="1">
      <alignment horizontal="center" vertical="center"/>
    </xf>
    <xf numFmtId="0" fontId="39" fillId="0" borderId="81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6" fillId="6" borderId="76" xfId="0" applyFont="1" applyFill="1" applyBorder="1" applyAlignment="1" applyProtection="1">
      <alignment horizontal="left" vertical="center" wrapText="1"/>
    </xf>
    <xf numFmtId="0" fontId="6" fillId="6" borderId="77" xfId="0" applyFont="1" applyFill="1" applyBorder="1" applyAlignment="1" applyProtection="1">
      <alignment horizontal="left" vertical="center" wrapText="1"/>
    </xf>
    <xf numFmtId="0" fontId="6" fillId="6" borderId="78" xfId="0" applyFont="1" applyFill="1" applyBorder="1" applyAlignment="1" applyProtection="1">
      <alignment horizontal="left" vertical="center" wrapText="1"/>
    </xf>
    <xf numFmtId="0" fontId="55" fillId="6" borderId="0" xfId="0" applyFont="1" applyFill="1" applyBorder="1" applyAlignment="1" applyProtection="1">
      <alignment horizontal="left"/>
    </xf>
    <xf numFmtId="0" fontId="6" fillId="6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6" borderId="70" xfId="0" applyFont="1" applyFill="1" applyBorder="1" applyAlignment="1" applyProtection="1">
      <alignment horizontal="left" vertical="center" wrapText="1"/>
    </xf>
    <xf numFmtId="0" fontId="6" fillId="6" borderId="83" xfId="0" applyFont="1" applyFill="1" applyBorder="1" applyAlignment="1" applyProtection="1">
      <alignment horizontal="left" vertical="center" wrapText="1"/>
    </xf>
    <xf numFmtId="0" fontId="6" fillId="6" borderId="64" xfId="0" applyFont="1" applyFill="1" applyBorder="1" applyAlignment="1" applyProtection="1">
      <alignment horizontal="left" vertical="center" wrapText="1"/>
    </xf>
    <xf numFmtId="0" fontId="6" fillId="6" borderId="43" xfId="0" applyFont="1" applyFill="1" applyBorder="1" applyAlignment="1" applyProtection="1">
      <alignment horizontal="left" vertical="center" wrapText="1"/>
    </xf>
    <xf numFmtId="0" fontId="6" fillId="6" borderId="36" xfId="0" applyFont="1" applyFill="1" applyBorder="1" applyAlignment="1" applyProtection="1">
      <alignment horizontal="left" vertical="center" wrapText="1"/>
    </xf>
    <xf numFmtId="0" fontId="6" fillId="6" borderId="56" xfId="0" applyFont="1" applyFill="1" applyBorder="1" applyAlignment="1" applyProtection="1">
      <alignment horizontal="left" vertical="center" wrapText="1"/>
    </xf>
    <xf numFmtId="0" fontId="15" fillId="0" borderId="7" xfId="0" applyFont="1" applyBorder="1" applyAlignment="1" applyProtection="1">
      <alignment horizontal="left" vertical="center" wrapText="1"/>
    </xf>
    <xf numFmtId="0" fontId="15" fillId="0" borderId="6" xfId="0" applyFont="1" applyBorder="1" applyAlignment="1" applyProtection="1">
      <alignment horizontal="left" vertical="center" wrapText="1"/>
    </xf>
    <xf numFmtId="0" fontId="33" fillId="0" borderId="3" xfId="0" applyFont="1" applyFill="1" applyBorder="1" applyAlignment="1" applyProtection="1">
      <alignment horizontal="left" vertical="center" wrapText="1"/>
    </xf>
    <xf numFmtId="0" fontId="33" fillId="0" borderId="2" xfId="0" applyFont="1" applyFill="1" applyBorder="1" applyAlignment="1" applyProtection="1">
      <alignment horizontal="left" vertical="center" wrapText="1"/>
    </xf>
    <xf numFmtId="0" fontId="9" fillId="6" borderId="79" xfId="0" applyFont="1" applyFill="1" applyBorder="1" applyAlignment="1" applyProtection="1">
      <alignment horizontal="left" vertical="center"/>
    </xf>
    <xf numFmtId="0" fontId="9" fillId="6" borderId="80" xfId="0" applyFont="1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left" vertical="center" wrapText="1"/>
    </xf>
    <xf numFmtId="0" fontId="9" fillId="0" borderId="50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left" vertical="center"/>
    </xf>
    <xf numFmtId="0" fontId="9" fillId="0" borderId="50" xfId="0" applyFont="1" applyBorder="1" applyAlignment="1" applyProtection="1">
      <alignment horizontal="left" vertical="center"/>
    </xf>
    <xf numFmtId="0" fontId="15" fillId="6" borderId="2" xfId="0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2" xfId="0" applyFont="1" applyFill="1" applyBorder="1" applyAlignment="1" applyProtection="1">
      <alignment horizontal="left" vertical="center" wrapText="1"/>
    </xf>
    <xf numFmtId="0" fontId="15" fillId="6" borderId="7" xfId="0" applyFont="1" applyFill="1" applyBorder="1" applyAlignment="1" applyProtection="1">
      <alignment horizontal="left" vertical="center"/>
    </xf>
    <xf numFmtId="0" fontId="15" fillId="6" borderId="6" xfId="0" applyFont="1" applyFill="1" applyBorder="1" applyAlignment="1" applyProtection="1">
      <alignment horizontal="left" vertical="center"/>
    </xf>
    <xf numFmtId="0" fontId="15" fillId="6" borderId="79" xfId="0" applyFont="1" applyFill="1" applyBorder="1" applyAlignment="1" applyProtection="1">
      <alignment horizontal="center" vertical="center"/>
    </xf>
    <xf numFmtId="0" fontId="15" fillId="6" borderId="80" xfId="0" applyFont="1" applyFill="1" applyBorder="1" applyAlignment="1" applyProtection="1">
      <alignment horizontal="center" vertical="center"/>
    </xf>
    <xf numFmtId="0" fontId="17" fillId="6" borderId="70" xfId="0" applyFont="1" applyFill="1" applyBorder="1" applyAlignment="1" applyProtection="1">
      <alignment horizontal="left" vertical="center"/>
    </xf>
    <xf numFmtId="0" fontId="17" fillId="6" borderId="83" xfId="0" applyFont="1" applyFill="1" applyBorder="1" applyAlignment="1" applyProtection="1">
      <alignment horizontal="left" vertical="center"/>
    </xf>
    <xf numFmtId="0" fontId="15" fillId="0" borderId="22" xfId="0" applyFont="1" applyBorder="1" applyAlignment="1" applyProtection="1">
      <alignment horizontal="left" vertical="center"/>
    </xf>
    <xf numFmtId="0" fontId="15" fillId="0" borderId="21" xfId="0" applyFont="1" applyBorder="1" applyAlignment="1" applyProtection="1">
      <alignment horizontal="left" vertical="center"/>
    </xf>
    <xf numFmtId="0" fontId="15" fillId="0" borderId="38" xfId="0" applyFont="1" applyBorder="1" applyAlignment="1" applyProtection="1">
      <alignment horizontal="left" vertical="center"/>
    </xf>
    <xf numFmtId="0" fontId="50" fillId="6" borderId="5" xfId="0" applyFont="1" applyFill="1" applyBorder="1" applyAlignment="1" applyProtection="1">
      <alignment horizontal="center" vertical="center" wrapText="1"/>
    </xf>
    <xf numFmtId="0" fontId="25" fillId="6" borderId="5" xfId="0" applyFont="1" applyFill="1" applyBorder="1" applyAlignment="1" applyProtection="1">
      <alignment horizontal="center" vertical="center" wrapText="1"/>
    </xf>
    <xf numFmtId="0" fontId="17" fillId="6" borderId="79" xfId="0" applyFont="1" applyFill="1" applyBorder="1" applyAlignment="1" applyProtection="1">
      <alignment vertical="center" wrapText="1"/>
    </xf>
    <xf numFmtId="0" fontId="17" fillId="6" borderId="7" xfId="0" applyFont="1" applyFill="1" applyBorder="1" applyAlignment="1" applyProtection="1">
      <alignment vertical="center" wrapText="1"/>
    </xf>
    <xf numFmtId="0" fontId="17" fillId="6" borderId="3" xfId="0" applyFont="1" applyFill="1" applyBorder="1" applyAlignment="1" applyProtection="1">
      <alignment vertical="center" wrapText="1"/>
    </xf>
    <xf numFmtId="0" fontId="6" fillId="7" borderId="28" xfId="0" applyFont="1" applyFill="1" applyBorder="1" applyAlignment="1" applyProtection="1">
      <alignment horizontal="left" vertical="center"/>
      <protection locked="0"/>
    </xf>
    <xf numFmtId="0" fontId="6" fillId="7" borderId="42" xfId="0" applyFont="1" applyFill="1" applyBorder="1" applyAlignment="1" applyProtection="1">
      <alignment horizontal="left" vertical="center"/>
      <protection locked="0"/>
    </xf>
    <xf numFmtId="0" fontId="6" fillId="7" borderId="50" xfId="0" applyFont="1" applyFill="1" applyBorder="1" applyAlignment="1" applyProtection="1">
      <alignment horizontal="left" vertical="center"/>
      <protection locked="0"/>
    </xf>
    <xf numFmtId="0" fontId="15" fillId="0" borderId="7" xfId="0" applyFont="1" applyFill="1" applyBorder="1" applyAlignment="1" applyProtection="1">
      <alignment horizontal="left" vertical="center"/>
    </xf>
    <xf numFmtId="0" fontId="15" fillId="0" borderId="6" xfId="0" applyFont="1" applyFill="1" applyBorder="1" applyAlignment="1" applyProtection="1">
      <alignment horizontal="left" vertical="center"/>
    </xf>
    <xf numFmtId="0" fontId="15" fillId="6" borderId="3" xfId="0" applyFont="1" applyFill="1" applyBorder="1" applyAlignment="1" applyProtection="1">
      <alignment horizontal="left" vertical="center"/>
    </xf>
    <xf numFmtId="0" fontId="15" fillId="6" borderId="2" xfId="0" applyFont="1" applyFill="1" applyBorder="1" applyAlignment="1" applyProtection="1">
      <alignment horizontal="left" vertical="center"/>
    </xf>
    <xf numFmtId="0" fontId="40" fillId="6" borderId="2" xfId="0" applyFont="1" applyFill="1" applyBorder="1" applyAlignment="1" applyProtection="1">
      <alignment horizontal="center" vertical="center" wrapText="1"/>
    </xf>
    <xf numFmtId="0" fontId="17" fillId="6" borderId="68" xfId="0" applyFont="1" applyFill="1" applyBorder="1" applyAlignment="1" applyProtection="1">
      <alignment horizontal="center" vertical="center" wrapText="1"/>
    </xf>
    <xf numFmtId="0" fontId="17" fillId="6" borderId="83" xfId="0" applyFont="1" applyFill="1" applyBorder="1" applyAlignment="1" applyProtection="1">
      <alignment horizontal="center" vertical="center" wrapText="1"/>
    </xf>
    <xf numFmtId="0" fontId="17" fillId="6" borderId="71" xfId="0" applyFont="1" applyFill="1" applyBorder="1" applyAlignment="1" applyProtection="1">
      <alignment horizontal="center" vertical="center" wrapText="1"/>
    </xf>
    <xf numFmtId="0" fontId="17" fillId="6" borderId="41" xfId="0" applyFont="1" applyFill="1" applyBorder="1" applyAlignment="1" applyProtection="1">
      <alignment horizontal="center" vertical="center" wrapText="1"/>
    </xf>
    <xf numFmtId="0" fontId="17" fillId="6" borderId="0" xfId="0" applyFont="1" applyFill="1" applyBorder="1" applyAlignment="1" applyProtection="1">
      <alignment horizontal="center" vertical="center" wrapText="1"/>
    </xf>
    <xf numFmtId="0" fontId="17" fillId="6" borderId="18" xfId="0" applyFont="1" applyFill="1" applyBorder="1" applyAlignment="1" applyProtection="1">
      <alignment horizontal="center" vertical="center" wrapText="1"/>
    </xf>
    <xf numFmtId="0" fontId="17" fillId="6" borderId="54" xfId="0" applyFont="1" applyFill="1" applyBorder="1" applyAlignment="1" applyProtection="1">
      <alignment horizontal="center" vertical="center" wrapText="1"/>
    </xf>
    <xf numFmtId="0" fontId="17" fillId="6" borderId="31" xfId="0" applyFont="1" applyFill="1" applyBorder="1" applyAlignment="1" applyProtection="1">
      <alignment horizontal="center" vertical="center" wrapText="1"/>
    </xf>
    <xf numFmtId="0" fontId="17" fillId="6" borderId="52" xfId="0" applyFont="1" applyFill="1" applyBorder="1" applyAlignment="1" applyProtection="1">
      <alignment horizontal="center" vertical="center" wrapText="1"/>
    </xf>
    <xf numFmtId="0" fontId="17" fillId="6" borderId="60" xfId="0" applyFont="1" applyFill="1" applyBorder="1" applyAlignment="1" applyProtection="1">
      <alignment horizontal="center" vertical="center" wrapText="1"/>
    </xf>
    <xf numFmtId="0" fontId="17" fillId="6" borderId="65" xfId="0" applyFont="1" applyFill="1" applyBorder="1" applyAlignment="1" applyProtection="1">
      <alignment horizontal="center" vertical="center" wrapText="1"/>
    </xf>
    <xf numFmtId="0" fontId="17" fillId="6" borderId="66" xfId="0" applyFont="1" applyFill="1" applyBorder="1" applyAlignment="1" applyProtection="1">
      <alignment horizontal="center" vertical="center" wrapText="1"/>
    </xf>
    <xf numFmtId="0" fontId="17" fillId="6" borderId="26" xfId="0" applyFont="1" applyFill="1" applyBorder="1" applyAlignment="1" applyProtection="1">
      <alignment horizontal="center" vertical="center" wrapText="1"/>
    </xf>
    <xf numFmtId="0" fontId="17" fillId="6" borderId="29" xfId="0" applyFont="1" applyFill="1" applyBorder="1" applyAlignment="1" applyProtection="1">
      <alignment horizontal="center" vertical="center" wrapText="1"/>
    </xf>
    <xf numFmtId="0" fontId="17" fillId="6" borderId="30" xfId="0" applyFont="1" applyFill="1" applyBorder="1" applyAlignment="1" applyProtection="1">
      <alignment horizontal="center" vertical="center" wrapText="1"/>
    </xf>
    <xf numFmtId="0" fontId="17" fillId="6" borderId="33" xfId="0" applyFont="1" applyFill="1" applyBorder="1" applyAlignment="1" applyProtection="1">
      <alignment horizontal="center" vertical="center"/>
    </xf>
    <xf numFmtId="0" fontId="17" fillId="6" borderId="45" xfId="0" applyFont="1" applyFill="1" applyBorder="1" applyAlignment="1" applyProtection="1">
      <alignment horizontal="center" vertical="center"/>
    </xf>
    <xf numFmtId="0" fontId="40" fillId="6" borderId="3" xfId="0" applyFont="1" applyFill="1" applyBorder="1" applyAlignment="1" applyProtection="1">
      <alignment horizontal="center" vertical="center" wrapText="1"/>
    </xf>
    <xf numFmtId="0" fontId="6" fillId="6" borderId="72" xfId="0" applyFont="1" applyFill="1" applyBorder="1" applyAlignment="1" applyProtection="1">
      <alignment horizontal="center" vertical="center"/>
    </xf>
    <xf numFmtId="0" fontId="6" fillId="6" borderId="74" xfId="0" applyFont="1" applyFill="1" applyBorder="1" applyAlignment="1" applyProtection="1">
      <alignment horizontal="center" vertical="center"/>
    </xf>
    <xf numFmtId="0" fontId="6" fillId="6" borderId="75" xfId="0" applyFont="1" applyFill="1" applyBorder="1" applyAlignment="1" applyProtection="1">
      <alignment horizontal="center" vertical="center"/>
    </xf>
    <xf numFmtId="0" fontId="6" fillId="0" borderId="72" xfId="0" applyFont="1" applyBorder="1" applyAlignment="1" applyProtection="1">
      <alignment horizontal="left" vertical="center" wrapText="1"/>
    </xf>
    <xf numFmtId="0" fontId="6" fillId="0" borderId="74" xfId="0" applyFont="1" applyBorder="1" applyAlignment="1" applyProtection="1">
      <alignment horizontal="left" vertical="center" wrapText="1"/>
    </xf>
    <xf numFmtId="0" fontId="6" fillId="0" borderId="75" xfId="0" applyFont="1" applyBorder="1" applyAlignment="1" applyProtection="1">
      <alignment horizontal="left" vertical="center" wrapText="1"/>
    </xf>
    <xf numFmtId="0" fontId="16" fillId="6" borderId="7" xfId="0" applyFont="1" applyFill="1" applyBorder="1" applyAlignment="1" applyProtection="1">
      <alignment horizontal="left" vertical="center"/>
    </xf>
    <xf numFmtId="0" fontId="16" fillId="6" borderId="6" xfId="0" applyFont="1" applyFill="1" applyBorder="1" applyAlignment="1" applyProtection="1">
      <alignment horizontal="left" vertical="center"/>
    </xf>
    <xf numFmtId="0" fontId="6" fillId="6" borderId="79" xfId="0" applyFont="1" applyFill="1" applyBorder="1" applyAlignment="1" applyProtection="1">
      <alignment horizontal="center" vertical="center" wrapText="1"/>
    </xf>
    <xf numFmtId="0" fontId="6" fillId="6" borderId="80" xfId="0" applyFont="1" applyFill="1" applyBorder="1" applyAlignment="1" applyProtection="1">
      <alignment horizontal="center" vertical="center" wrapText="1"/>
    </xf>
    <xf numFmtId="0" fontId="6" fillId="6" borderId="81" xfId="0" applyFont="1" applyFill="1" applyBorder="1" applyAlignment="1" applyProtection="1">
      <alignment horizontal="center" vertical="center" wrapText="1"/>
    </xf>
    <xf numFmtId="0" fontId="17" fillId="7" borderId="88" xfId="0" applyFont="1" applyFill="1" applyBorder="1" applyAlignment="1" applyProtection="1">
      <alignment horizontal="center" vertical="center" wrapText="1"/>
      <protection locked="0"/>
    </xf>
    <xf numFmtId="0" fontId="17" fillId="7" borderId="74" xfId="0" applyFont="1" applyFill="1" applyBorder="1" applyAlignment="1" applyProtection="1">
      <alignment horizontal="center" vertical="center" wrapText="1"/>
      <protection locked="0"/>
    </xf>
    <xf numFmtId="0" fontId="17" fillId="7" borderId="75" xfId="0" applyFont="1" applyFill="1" applyBorder="1" applyAlignment="1" applyProtection="1">
      <alignment horizontal="center" vertical="center" wrapText="1"/>
      <protection locked="0"/>
    </xf>
    <xf numFmtId="0" fontId="17" fillId="6" borderId="3" xfId="0" applyFont="1" applyFill="1" applyBorder="1" applyAlignment="1" applyProtection="1">
      <alignment horizontal="left" vertical="center" wrapText="1"/>
    </xf>
    <xf numFmtId="0" fontId="17" fillId="6" borderId="2" xfId="0" applyFont="1" applyFill="1" applyBorder="1" applyAlignment="1" applyProtection="1">
      <alignment horizontal="left" vertical="center" wrapText="1"/>
    </xf>
    <xf numFmtId="0" fontId="17" fillId="6" borderId="7" xfId="0" applyFont="1" applyFill="1" applyBorder="1" applyAlignment="1" applyProtection="1">
      <alignment horizontal="left" vertical="center"/>
    </xf>
    <xf numFmtId="0" fontId="17" fillId="6" borderId="6" xfId="0" applyFont="1" applyFill="1" applyBorder="1" applyAlignment="1" applyProtection="1">
      <alignment horizontal="left" vertical="center"/>
    </xf>
    <xf numFmtId="0" fontId="6" fillId="6" borderId="72" xfId="0" applyFont="1" applyFill="1" applyBorder="1" applyAlignment="1" applyProtection="1">
      <alignment horizontal="center" vertical="center" wrapText="1"/>
    </xf>
    <xf numFmtId="0" fontId="6" fillId="6" borderId="74" xfId="0" applyFont="1" applyFill="1" applyBorder="1" applyAlignment="1" applyProtection="1">
      <alignment horizontal="center" vertical="center" wrapText="1"/>
    </xf>
    <xf numFmtId="0" fontId="6" fillId="6" borderId="75" xfId="0" applyFont="1" applyFill="1" applyBorder="1" applyAlignment="1" applyProtection="1">
      <alignment horizontal="center" vertical="center" wrapText="1"/>
    </xf>
    <xf numFmtId="0" fontId="15" fillId="6" borderId="22" xfId="0" applyFont="1" applyFill="1" applyBorder="1" applyAlignment="1" applyProtection="1">
      <alignment horizontal="left" vertical="center"/>
    </xf>
    <xf numFmtId="0" fontId="15" fillId="6" borderId="38" xfId="0" applyFont="1" applyFill="1" applyBorder="1" applyAlignment="1" applyProtection="1">
      <alignment horizontal="left" vertical="center"/>
    </xf>
    <xf numFmtId="0" fontId="17" fillId="6" borderId="72" xfId="0" applyFont="1" applyFill="1" applyBorder="1" applyAlignment="1" applyProtection="1">
      <alignment horizontal="center" vertical="center"/>
    </xf>
    <xf numFmtId="0" fontId="17" fillId="6" borderId="74" xfId="0" applyFont="1" applyFill="1" applyBorder="1" applyAlignment="1" applyProtection="1">
      <alignment horizontal="center" vertical="center"/>
    </xf>
    <xf numFmtId="0" fontId="17" fillId="7" borderId="88" xfId="0" applyFont="1" applyFill="1" applyBorder="1" applyAlignment="1" applyProtection="1">
      <alignment horizontal="left" vertical="center" wrapText="1"/>
      <protection locked="0"/>
    </xf>
    <xf numFmtId="0" fontId="17" fillId="7" borderId="74" xfId="0" applyFont="1" applyFill="1" applyBorder="1" applyAlignment="1" applyProtection="1">
      <alignment horizontal="left" vertical="center" wrapText="1"/>
      <protection locked="0"/>
    </xf>
    <xf numFmtId="0" fontId="17" fillId="7" borderId="75" xfId="0" applyFont="1" applyFill="1" applyBorder="1" applyAlignment="1" applyProtection="1">
      <alignment horizontal="left" vertical="center" wrapText="1"/>
      <protection locked="0"/>
    </xf>
    <xf numFmtId="0" fontId="15" fillId="6" borderId="26" xfId="0" applyFont="1" applyFill="1" applyBorder="1" applyAlignment="1" applyProtection="1">
      <alignment horizontal="center" vertical="center"/>
    </xf>
    <xf numFmtId="0" fontId="15" fillId="6" borderId="29" xfId="0" applyFont="1" applyFill="1" applyBorder="1" applyAlignment="1" applyProtection="1">
      <alignment horizontal="center" vertical="center"/>
    </xf>
    <xf numFmtId="0" fontId="6" fillId="6" borderId="72" xfId="0" applyFont="1" applyFill="1" applyBorder="1" applyAlignment="1" applyProtection="1">
      <alignment horizontal="left" vertical="center"/>
    </xf>
    <xf numFmtId="0" fontId="6" fillId="6" borderId="74" xfId="0" applyFont="1" applyFill="1" applyBorder="1" applyAlignment="1" applyProtection="1">
      <alignment horizontal="left" vertical="center"/>
    </xf>
    <xf numFmtId="0" fontId="6" fillId="6" borderId="75" xfId="0" applyFont="1" applyFill="1" applyBorder="1" applyAlignment="1" applyProtection="1">
      <alignment horizontal="left" vertical="center"/>
    </xf>
    <xf numFmtId="0" fontId="6" fillId="6" borderId="71" xfId="0" applyFont="1" applyFill="1" applyBorder="1" applyAlignment="1" applyProtection="1">
      <alignment horizontal="left" vertical="center" wrapText="1"/>
    </xf>
    <xf numFmtId="0" fontId="55" fillId="6" borderId="72" xfId="0" applyFont="1" applyFill="1" applyBorder="1" applyAlignment="1" applyProtection="1">
      <alignment horizontal="center" vertical="center"/>
    </xf>
    <xf numFmtId="0" fontId="55" fillId="6" borderId="74" xfId="0" applyFont="1" applyFill="1" applyBorder="1" applyAlignment="1" applyProtection="1">
      <alignment horizontal="center" vertical="center"/>
    </xf>
    <xf numFmtId="0" fontId="55" fillId="6" borderId="75" xfId="0" applyFont="1" applyFill="1" applyBorder="1" applyAlignment="1" applyProtection="1">
      <alignment horizontal="center" vertical="center"/>
    </xf>
    <xf numFmtId="0" fontId="15" fillId="6" borderId="21" xfId="0" applyFont="1" applyFill="1" applyBorder="1" applyAlignment="1" applyProtection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60" fillId="0" borderId="6" xfId="0" applyFont="1" applyBorder="1" applyAlignment="1">
      <alignment horizontal="left" vertical="center"/>
    </xf>
    <xf numFmtId="0" fontId="15" fillId="0" borderId="22" xfId="0" applyFont="1" applyFill="1" applyBorder="1" applyAlignment="1" applyProtection="1">
      <alignment horizontal="left" vertical="center"/>
    </xf>
    <xf numFmtId="0" fontId="15" fillId="0" borderId="21" xfId="0" applyFont="1" applyFill="1" applyBorder="1" applyAlignment="1" applyProtection="1">
      <alignment horizontal="left" vertical="center"/>
    </xf>
    <xf numFmtId="0" fontId="15" fillId="0" borderId="38" xfId="0" applyFont="1" applyFill="1" applyBorder="1" applyAlignment="1" applyProtection="1">
      <alignment horizontal="left" vertical="center"/>
    </xf>
    <xf numFmtId="0" fontId="17" fillId="7" borderId="88" xfId="0" applyFont="1" applyFill="1" applyBorder="1" applyAlignment="1" applyProtection="1">
      <alignment horizontal="left" vertical="center" wrapText="1"/>
    </xf>
    <xf numFmtId="0" fontId="17" fillId="7" borderId="74" xfId="0" applyFont="1" applyFill="1" applyBorder="1" applyAlignment="1" applyProtection="1">
      <alignment horizontal="left" vertical="center" wrapText="1"/>
    </xf>
    <xf numFmtId="0" fontId="17" fillId="7" borderId="75" xfId="0" applyFont="1" applyFill="1" applyBorder="1" applyAlignment="1" applyProtection="1">
      <alignment horizontal="left" vertical="center" wrapText="1"/>
    </xf>
    <xf numFmtId="0" fontId="69" fillId="6" borderId="6" xfId="0" applyFont="1" applyFill="1" applyBorder="1" applyAlignment="1" applyProtection="1">
      <alignment horizontal="center" vertical="center" wrapText="1"/>
    </xf>
    <xf numFmtId="0" fontId="69" fillId="6" borderId="5" xfId="0" applyFont="1" applyFill="1" applyBorder="1" applyAlignment="1" applyProtection="1">
      <alignment horizontal="center" vertical="center" wrapText="1"/>
    </xf>
    <xf numFmtId="0" fontId="60" fillId="6" borderId="38" xfId="0" applyFont="1" applyFill="1" applyBorder="1" applyAlignment="1" applyProtection="1">
      <alignment horizontal="center" vertical="center" wrapText="1"/>
    </xf>
    <xf numFmtId="0" fontId="60" fillId="6" borderId="6" xfId="0" applyFont="1" applyFill="1" applyBorder="1" applyAlignment="1" applyProtection="1">
      <alignment horizontal="center" vertical="center" wrapText="1"/>
    </xf>
    <xf numFmtId="0" fontId="60" fillId="6" borderId="5" xfId="0" applyFont="1" applyFill="1" applyBorder="1" applyAlignment="1" applyProtection="1">
      <alignment horizontal="center" vertical="center" wrapText="1"/>
    </xf>
    <xf numFmtId="0" fontId="60" fillId="6" borderId="73" xfId="0" applyFont="1" applyFill="1" applyBorder="1" applyAlignment="1" applyProtection="1">
      <alignment vertical="center" wrapText="1"/>
    </xf>
    <xf numFmtId="0" fontId="60" fillId="6" borderId="8" xfId="0" applyFont="1" applyFill="1" applyBorder="1" applyAlignment="1" applyProtection="1">
      <alignment vertical="center" wrapText="1"/>
    </xf>
    <xf numFmtId="0" fontId="60" fillId="6" borderId="86" xfId="0" applyFont="1" applyFill="1" applyBorder="1" applyAlignment="1" applyProtection="1">
      <alignment vertical="center" wrapText="1"/>
    </xf>
    <xf numFmtId="0" fontId="5" fillId="6" borderId="70" xfId="0" applyFont="1" applyFill="1" applyBorder="1" applyAlignment="1" applyProtection="1">
      <alignment horizontal="center" vertical="center" wrapText="1"/>
    </xf>
    <xf numFmtId="0" fontId="5" fillId="6" borderId="83" xfId="0" applyFont="1" applyFill="1" applyBorder="1" applyAlignment="1" applyProtection="1">
      <alignment horizontal="center" vertical="center" wrapText="1"/>
    </xf>
    <xf numFmtId="0" fontId="5" fillId="6" borderId="43" xfId="0" applyFont="1" applyFill="1" applyBorder="1" applyAlignment="1" applyProtection="1">
      <alignment horizontal="center" vertical="center" wrapText="1"/>
    </xf>
    <xf numFmtId="0" fontId="5" fillId="6" borderId="36" xfId="0" applyFont="1" applyFill="1" applyBorder="1" applyAlignment="1" applyProtection="1">
      <alignment horizontal="center" vertical="center" wrapText="1"/>
    </xf>
    <xf numFmtId="0" fontId="5" fillId="6" borderId="64" xfId="0" applyFont="1" applyFill="1" applyBorder="1" applyAlignment="1" applyProtection="1">
      <alignment horizontal="center" vertical="center" wrapText="1"/>
    </xf>
    <xf numFmtId="0" fontId="5" fillId="6" borderId="56" xfId="0" applyFont="1" applyFill="1" applyBorder="1" applyAlignment="1" applyProtection="1">
      <alignment horizontal="center" vertical="center" wrapText="1"/>
    </xf>
    <xf numFmtId="0" fontId="5" fillId="6" borderId="80" xfId="0" applyFont="1" applyFill="1" applyBorder="1" applyAlignment="1" applyProtection="1">
      <alignment horizontal="center" vertical="center" wrapText="1"/>
    </xf>
    <xf numFmtId="0" fontId="5" fillId="6" borderId="81" xfId="0" applyFont="1" applyFill="1" applyBorder="1" applyAlignment="1" applyProtection="1">
      <alignment horizontal="center" vertical="center" wrapText="1"/>
    </xf>
    <xf numFmtId="49" fontId="37" fillId="0" borderId="80" xfId="0" applyNumberFormat="1" applyFont="1" applyBorder="1" applyAlignment="1">
      <alignment horizontal="center" vertical="center"/>
    </xf>
    <xf numFmtId="49" fontId="37" fillId="0" borderId="81" xfId="0" applyNumberFormat="1" applyFont="1" applyBorder="1" applyAlignment="1">
      <alignment horizontal="center" vertical="center"/>
    </xf>
    <xf numFmtId="49" fontId="37" fillId="0" borderId="2" xfId="0" applyNumberFormat="1" applyFont="1" applyBorder="1" applyAlignment="1">
      <alignment horizontal="center" vertical="center"/>
    </xf>
    <xf numFmtId="49" fontId="37" fillId="0" borderId="1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7" fillId="6" borderId="69" xfId="0" applyFont="1" applyFill="1" applyBorder="1" applyAlignment="1">
      <alignment horizontal="center" vertical="center"/>
    </xf>
    <xf numFmtId="0" fontId="17" fillId="6" borderId="82" xfId="0" applyFont="1" applyFill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66" fillId="0" borderId="70" xfId="0" applyFont="1" applyBorder="1" applyAlignment="1">
      <alignment horizontal="left" vertical="center" wrapText="1"/>
    </xf>
    <xf numFmtId="0" fontId="66" fillId="0" borderId="83" xfId="0" applyFont="1" applyBorder="1" applyAlignment="1">
      <alignment horizontal="left" vertical="center" wrapText="1"/>
    </xf>
    <xf numFmtId="0" fontId="66" fillId="0" borderId="64" xfId="0" applyFont="1" applyBorder="1" applyAlignment="1">
      <alignment horizontal="left" vertical="center" wrapText="1"/>
    </xf>
    <xf numFmtId="0" fontId="66" fillId="0" borderId="57" xfId="0" applyFont="1" applyBorder="1" applyAlignment="1">
      <alignment horizontal="left" vertical="center" wrapText="1"/>
    </xf>
    <xf numFmtId="0" fontId="66" fillId="0" borderId="31" xfId="0" applyFont="1" applyBorder="1" applyAlignment="1">
      <alignment horizontal="left" vertical="center" wrapText="1"/>
    </xf>
    <xf numFmtId="0" fontId="66" fillId="0" borderId="55" xfId="0" applyFont="1" applyBorder="1" applyAlignment="1">
      <alignment horizontal="left" vertical="center" wrapText="1"/>
    </xf>
    <xf numFmtId="0" fontId="66" fillId="0" borderId="72" xfId="0" applyFont="1" applyBorder="1" applyAlignment="1">
      <alignment horizontal="left" vertical="center"/>
    </xf>
    <xf numFmtId="0" fontId="66" fillId="0" borderId="74" xfId="0" applyFont="1" applyBorder="1" applyAlignment="1">
      <alignment horizontal="left" vertical="center"/>
    </xf>
    <xf numFmtId="0" fontId="66" fillId="0" borderId="89" xfId="0" applyFont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2" fillId="0" borderId="24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3" fillId="6" borderId="76" xfId="0" applyFont="1" applyFill="1" applyBorder="1" applyAlignment="1">
      <alignment horizontal="center" vertical="center" wrapText="1"/>
    </xf>
    <xf numFmtId="0" fontId="23" fillId="6" borderId="77" xfId="0" applyFont="1" applyFill="1" applyBorder="1" applyAlignment="1">
      <alignment horizontal="center" vertical="center" wrapText="1"/>
    </xf>
    <xf numFmtId="0" fontId="23" fillId="6" borderId="78" xfId="0" applyFont="1" applyFill="1" applyBorder="1" applyAlignment="1">
      <alignment horizontal="center" vertical="center" wrapText="1"/>
    </xf>
    <xf numFmtId="0" fontId="23" fillId="6" borderId="22" xfId="0" applyFont="1" applyFill="1" applyBorder="1" applyAlignment="1">
      <alignment horizontal="center" vertical="center" wrapText="1"/>
    </xf>
    <xf numFmtId="0" fontId="23" fillId="6" borderId="21" xfId="0" applyFont="1" applyFill="1" applyBorder="1" applyAlignment="1">
      <alignment horizontal="center" vertical="center" wrapText="1"/>
    </xf>
    <xf numFmtId="0" fontId="23" fillId="6" borderId="23" xfId="0" applyFont="1" applyFill="1" applyBorder="1" applyAlignment="1">
      <alignment horizontal="center" vertical="center" wrapText="1"/>
    </xf>
  </cellXfs>
  <cellStyles count="33">
    <cellStyle name="40 % - uthevingsfarge 1" xfId="31" builtinId="31"/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Normal" xfId="0" builtinId="0"/>
    <cellStyle name="Prosent" xfId="32" builtinId="5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auto="1"/>
        <name val="Cambria"/>
        <scheme val="none"/>
      </font>
      <fill>
        <patternFill>
          <bgColor theme="0"/>
        </patternFill>
      </fill>
    </dxf>
    <dxf>
      <font>
        <b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4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466725</xdr:colOff>
      <xdr:row>3</xdr:row>
      <xdr:rowOff>4168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90500"/>
          <a:ext cx="1876425" cy="12900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469447</xdr:colOff>
      <xdr:row>3</xdr:row>
      <xdr:rowOff>5528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0A7E94-77CF-446B-BE2A-37C277ECE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90500"/>
          <a:ext cx="1879147" cy="1291403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4</xdr:row>
      <xdr:rowOff>27997</xdr:rowOff>
    </xdr:from>
    <xdr:to>
      <xdr:col>22</xdr:col>
      <xdr:colOff>775</xdr:colOff>
      <xdr:row>20</xdr:row>
      <xdr:rowOff>71655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71B2E6B-DA16-40D7-A36A-945F87384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1761547"/>
          <a:ext cx="7096900" cy="45775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47959</xdr:colOff>
      <xdr:row>21</xdr:row>
      <xdr:rowOff>0</xdr:rowOff>
    </xdr:from>
    <xdr:to>
      <xdr:col>14</xdr:col>
      <xdr:colOff>224818</xdr:colOff>
      <xdr:row>54</xdr:row>
      <xdr:rowOff>183991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884" y="7077075"/>
          <a:ext cx="6482409" cy="6470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59533</xdr:rowOff>
    </xdr:from>
    <xdr:to>
      <xdr:col>4</xdr:col>
      <xdr:colOff>710585</xdr:colOff>
      <xdr:row>57</xdr:row>
      <xdr:rowOff>517922</xdr:rowOff>
    </xdr:to>
    <xdr:pic>
      <xdr:nvPicPr>
        <xdr:cNvPr id="3" name="Bilde 1">
          <a:extLst>
            <a:ext uri="{FF2B5EF4-FFF2-40B4-BE49-F238E27FC236}">
              <a16:creationId xmlns:a16="http://schemas.microsoft.com/office/drawing/2014/main" id="{62AAF97A-75FA-49C6-A4FB-200DF4A5A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93189"/>
          <a:ext cx="5187335" cy="2774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447674</xdr:colOff>
      <xdr:row>46</xdr:row>
      <xdr:rowOff>34925</xdr:rowOff>
    </xdr:from>
    <xdr:ext cx="65" cy="172227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6914091" y="1658725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11</xdr:col>
      <xdr:colOff>532342</xdr:colOff>
      <xdr:row>46</xdr:row>
      <xdr:rowOff>0</xdr:rowOff>
    </xdr:from>
    <xdr:ext cx="65" cy="172227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9464675" y="1606338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447674</xdr:colOff>
      <xdr:row>57</xdr:row>
      <xdr:rowOff>34925</xdr:rowOff>
    </xdr:from>
    <xdr:ext cx="65" cy="172227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7248524" y="16456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11</xdr:col>
      <xdr:colOff>532342</xdr:colOff>
      <xdr:row>57</xdr:row>
      <xdr:rowOff>0</xdr:rowOff>
    </xdr:from>
    <xdr:ext cx="65" cy="172227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9800167" y="16421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W24"/>
  <sheetViews>
    <sheetView topLeftCell="B1" zoomScaleNormal="100" zoomScalePageLayoutView="125" workbookViewId="0">
      <selection activeCell="AN8" sqref="AN8"/>
    </sheetView>
  </sheetViews>
  <sheetFormatPr baseColWidth="10" defaultColWidth="10.7109375" defaultRowHeight="14.25" x14ac:dyDescent="0.2"/>
  <cols>
    <col min="1" max="1" width="4.28515625" style="63" customWidth="1"/>
    <col min="2" max="2" width="5.7109375" style="64" customWidth="1"/>
    <col min="3" max="3" width="4.7109375" style="63" customWidth="1"/>
    <col min="4" max="9" width="10.7109375" style="63"/>
    <col min="10" max="10" width="17.28515625" style="63" customWidth="1"/>
    <col min="11" max="16384" width="10.7109375" style="63"/>
  </cols>
  <sheetData>
    <row r="1" spans="1:23" ht="15.75" thickBot="1" x14ac:dyDescent="0.25">
      <c r="A1" s="619"/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620"/>
      <c r="P1" s="620"/>
      <c r="Q1" s="620"/>
      <c r="R1" s="620"/>
      <c r="S1" s="620"/>
      <c r="T1" s="620"/>
      <c r="U1" s="620"/>
      <c r="V1" s="620"/>
      <c r="W1" s="621"/>
    </row>
    <row r="2" spans="1:23" ht="41.25" customHeight="1" x14ac:dyDescent="0.2">
      <c r="A2" s="574"/>
      <c r="B2" s="622"/>
      <c r="C2" s="623"/>
      <c r="D2" s="623"/>
      <c r="E2" s="322"/>
      <c r="F2" s="322"/>
      <c r="G2" s="589" t="s">
        <v>405</v>
      </c>
      <c r="H2" s="590"/>
      <c r="I2" s="590"/>
      <c r="J2" s="590"/>
      <c r="K2" s="581"/>
      <c r="L2" s="581"/>
      <c r="M2" s="581"/>
      <c r="N2" s="581"/>
      <c r="O2" s="581"/>
      <c r="P2" s="581"/>
      <c r="Q2" s="581"/>
      <c r="R2" s="322"/>
      <c r="S2" s="740" t="s">
        <v>359</v>
      </c>
      <c r="T2" s="741"/>
      <c r="U2" s="741"/>
      <c r="V2" s="742"/>
      <c r="W2" s="624"/>
    </row>
    <row r="3" spans="1:23" ht="60" customHeight="1" thickBot="1" x14ac:dyDescent="0.25">
      <c r="A3" s="574"/>
      <c r="B3" s="625"/>
      <c r="C3" s="623"/>
      <c r="D3" s="623"/>
      <c r="E3" s="322"/>
      <c r="F3" s="322"/>
      <c r="G3" s="626" t="s">
        <v>425</v>
      </c>
      <c r="H3" s="623"/>
      <c r="I3" s="623"/>
      <c r="J3" s="623"/>
      <c r="K3" s="627"/>
      <c r="L3" s="627"/>
      <c r="M3" s="627"/>
      <c r="N3" s="627"/>
      <c r="O3" s="627"/>
      <c r="P3" s="627"/>
      <c r="Q3" s="628"/>
      <c r="R3" s="628"/>
      <c r="S3" s="743" t="s">
        <v>458</v>
      </c>
      <c r="T3" s="744"/>
      <c r="U3" s="744"/>
      <c r="V3" s="745"/>
      <c r="W3" s="629"/>
    </row>
    <row r="4" spans="1:23" ht="19.5" customHeight="1" x14ac:dyDescent="0.2">
      <c r="A4" s="574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624"/>
    </row>
    <row r="5" spans="1:23" ht="28.35" customHeight="1" x14ac:dyDescent="0.2">
      <c r="A5" s="574"/>
      <c r="B5" s="630" t="s">
        <v>103</v>
      </c>
      <c r="C5" s="631"/>
      <c r="D5" s="631"/>
      <c r="E5" s="631"/>
      <c r="F5" s="631"/>
      <c r="G5" s="631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624"/>
    </row>
    <row r="6" spans="1:23" ht="17.25" customHeight="1" x14ac:dyDescent="0.2">
      <c r="A6" s="574"/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624"/>
    </row>
    <row r="7" spans="1:23" ht="21" customHeight="1" x14ac:dyDescent="0.2">
      <c r="A7" s="574"/>
      <c r="B7" s="576">
        <v>1</v>
      </c>
      <c r="C7" s="580" t="s">
        <v>104</v>
      </c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624"/>
    </row>
    <row r="8" spans="1:23" ht="21" customHeight="1" x14ac:dyDescent="0.2">
      <c r="A8" s="574"/>
      <c r="B8" s="322"/>
      <c r="C8" s="579" t="s">
        <v>109</v>
      </c>
      <c r="D8" s="746" t="s">
        <v>199</v>
      </c>
      <c r="E8" s="746"/>
      <c r="F8" s="746"/>
      <c r="G8" s="746"/>
      <c r="H8" s="746"/>
      <c r="I8" s="746"/>
      <c r="J8" s="746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624"/>
    </row>
    <row r="9" spans="1:23" ht="21" customHeight="1" x14ac:dyDescent="0.2">
      <c r="A9" s="574"/>
      <c r="B9" s="322"/>
      <c r="C9" s="578" t="s">
        <v>110</v>
      </c>
      <c r="D9" s="747" t="s">
        <v>105</v>
      </c>
      <c r="E9" s="747"/>
      <c r="F9" s="747"/>
      <c r="G9" s="747"/>
      <c r="H9" s="747"/>
      <c r="I9" s="747"/>
      <c r="J9" s="747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624"/>
    </row>
    <row r="10" spans="1:23" ht="21" customHeight="1" x14ac:dyDescent="0.2">
      <c r="A10" s="574"/>
      <c r="B10" s="322"/>
      <c r="C10" s="579" t="s">
        <v>111</v>
      </c>
      <c r="D10" s="730" t="s">
        <v>406</v>
      </c>
      <c r="E10" s="730"/>
      <c r="F10" s="730"/>
      <c r="G10" s="730"/>
      <c r="H10" s="730"/>
      <c r="I10" s="730"/>
      <c r="J10" s="730"/>
      <c r="K10" s="730"/>
      <c r="L10" s="730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624"/>
    </row>
    <row r="11" spans="1:23" ht="15" customHeight="1" x14ac:dyDescent="0.2">
      <c r="A11" s="574"/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624"/>
    </row>
    <row r="12" spans="1:23" ht="33" customHeight="1" x14ac:dyDescent="0.2">
      <c r="A12" s="574"/>
      <c r="B12" s="576">
        <v>2</v>
      </c>
      <c r="C12" s="748" t="s">
        <v>200</v>
      </c>
      <c r="D12" s="749"/>
      <c r="E12" s="749"/>
      <c r="F12" s="749"/>
      <c r="G12" s="749"/>
      <c r="H12" s="749"/>
      <c r="I12" s="749"/>
      <c r="J12" s="749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624"/>
    </row>
    <row r="13" spans="1:23" ht="33" customHeight="1" x14ac:dyDescent="0.2">
      <c r="A13" s="574"/>
      <c r="B13" s="322"/>
      <c r="C13" s="632" t="s">
        <v>112</v>
      </c>
      <c r="D13" s="729" t="s">
        <v>407</v>
      </c>
      <c r="E13" s="730"/>
      <c r="F13" s="730"/>
      <c r="G13" s="730"/>
      <c r="H13" s="730"/>
      <c r="I13" s="730"/>
      <c r="J13" s="730"/>
      <c r="K13" s="730"/>
      <c r="L13" s="730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624"/>
    </row>
    <row r="14" spans="1:23" ht="15" customHeight="1" x14ac:dyDescent="0.2">
      <c r="A14" s="574"/>
      <c r="B14" s="322"/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624"/>
    </row>
    <row r="15" spans="1:23" ht="21" customHeight="1" x14ac:dyDescent="0.2">
      <c r="A15" s="574"/>
      <c r="B15" s="576">
        <v>3</v>
      </c>
      <c r="C15" s="750" t="s">
        <v>201</v>
      </c>
      <c r="D15" s="738"/>
      <c r="E15" s="738"/>
      <c r="F15" s="738"/>
      <c r="G15" s="738"/>
      <c r="H15" s="738"/>
      <c r="I15" s="738"/>
      <c r="J15" s="739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624"/>
    </row>
    <row r="16" spans="1:23" ht="21" customHeight="1" x14ac:dyDescent="0.2">
      <c r="A16" s="574"/>
      <c r="B16" s="322"/>
      <c r="C16" s="577" t="s">
        <v>113</v>
      </c>
      <c r="D16" s="731" t="s">
        <v>106</v>
      </c>
      <c r="E16" s="732"/>
      <c r="F16" s="732"/>
      <c r="G16" s="732"/>
      <c r="H16" s="732"/>
      <c r="I16" s="732"/>
      <c r="J16" s="733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624"/>
    </row>
    <row r="17" spans="1:23" ht="21" customHeight="1" x14ac:dyDescent="0.2">
      <c r="A17" s="574"/>
      <c r="B17" s="322"/>
      <c r="C17" s="579" t="s">
        <v>114</v>
      </c>
      <c r="D17" s="734" t="s">
        <v>107</v>
      </c>
      <c r="E17" s="735"/>
      <c r="F17" s="735"/>
      <c r="G17" s="735"/>
      <c r="H17" s="735"/>
      <c r="I17" s="735"/>
      <c r="J17" s="736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624"/>
    </row>
    <row r="18" spans="1:23" ht="21" customHeight="1" x14ac:dyDescent="0.2">
      <c r="A18" s="574"/>
      <c r="B18" s="322"/>
      <c r="C18" s="578" t="s">
        <v>115</v>
      </c>
      <c r="D18" s="737" t="s">
        <v>108</v>
      </c>
      <c r="E18" s="738"/>
      <c r="F18" s="738"/>
      <c r="G18" s="738"/>
      <c r="H18" s="738"/>
      <c r="I18" s="738"/>
      <c r="J18" s="739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624"/>
    </row>
    <row r="19" spans="1:23" ht="15" customHeight="1" x14ac:dyDescent="0.2">
      <c r="A19" s="574"/>
      <c r="B19" s="322"/>
      <c r="C19" s="322"/>
      <c r="D19" s="322"/>
      <c r="E19" s="322"/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S19" s="322"/>
      <c r="T19" s="322"/>
      <c r="U19" s="322"/>
      <c r="V19" s="322"/>
      <c r="W19" s="624"/>
    </row>
    <row r="20" spans="1:23" ht="33" customHeight="1" x14ac:dyDescent="0.2">
      <c r="A20" s="574"/>
      <c r="B20" s="576">
        <v>4</v>
      </c>
      <c r="C20" s="729" t="s">
        <v>408</v>
      </c>
      <c r="D20" s="730"/>
      <c r="E20" s="730"/>
      <c r="F20" s="730"/>
      <c r="G20" s="730"/>
      <c r="H20" s="730"/>
      <c r="I20" s="730"/>
      <c r="J20" s="730"/>
      <c r="K20" s="730"/>
      <c r="L20" s="730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624"/>
    </row>
    <row r="21" spans="1:23" ht="15" x14ac:dyDescent="0.2">
      <c r="A21" s="574"/>
      <c r="B21" s="322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624"/>
    </row>
    <row r="22" spans="1:23" ht="15" x14ac:dyDescent="0.2">
      <c r="A22" s="574"/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624"/>
    </row>
    <row r="23" spans="1:23" ht="15" x14ac:dyDescent="0.2">
      <c r="A23" s="574"/>
      <c r="B23" s="322"/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624"/>
    </row>
    <row r="24" spans="1:23" ht="15" x14ac:dyDescent="0.2">
      <c r="A24" s="633"/>
      <c r="B24" s="634"/>
      <c r="C24" s="634"/>
      <c r="D24" s="634"/>
      <c r="E24" s="634"/>
      <c r="F24" s="634"/>
      <c r="G24" s="634"/>
      <c r="H24" s="634"/>
      <c r="I24" s="634"/>
      <c r="J24" s="634"/>
      <c r="K24" s="634"/>
      <c r="L24" s="634"/>
      <c r="M24" s="634"/>
      <c r="N24" s="634"/>
      <c r="O24" s="634"/>
      <c r="P24" s="634"/>
      <c r="Q24" s="634"/>
      <c r="R24" s="634"/>
      <c r="S24" s="634"/>
      <c r="T24" s="634"/>
      <c r="U24" s="634"/>
      <c r="V24" s="634"/>
      <c r="W24" s="635"/>
    </row>
  </sheetData>
  <sheetProtection algorithmName="SHA-512" hashValue="VnAF/V3jtn6bu/YPdlm+GEBD/WzEcF5YzQ9grfsTMs9Ub35fwNZfrlKRHbbWGtZ6dc1rqedXTDFZ9S/FkIZfMQ==" saltValue="cAo+cTGUqbQzEpkI0tdRnQ==" spinCount="100000" sheet="1" objects="1" scenarios="1"/>
  <mergeCells count="12">
    <mergeCell ref="C20:L20"/>
    <mergeCell ref="D16:J16"/>
    <mergeCell ref="D17:J17"/>
    <mergeCell ref="D18:J18"/>
    <mergeCell ref="S2:V2"/>
    <mergeCell ref="S3:V3"/>
    <mergeCell ref="D10:L10"/>
    <mergeCell ref="D13:L13"/>
    <mergeCell ref="D8:J8"/>
    <mergeCell ref="D9:J9"/>
    <mergeCell ref="C12:J12"/>
    <mergeCell ref="C15:J15"/>
  </mergeCells>
  <phoneticPr fontId="4" type="noConversion"/>
  <pageMargins left="0.78740157480314965" right="0.78740157480314965" top="0.98425196850393704" bottom="0.98425196850393704" header="0.51181102362204722" footer="0.51181102362204722"/>
  <pageSetup paperSize="8" orientation="landscape" horizontalDpi="4294967292" verticalDpi="4294967292" r:id="rId1"/>
  <headerFooter>
    <oddHeader>&amp;L&amp;"Times New Roman,Fet"&amp;18&amp;K000000God Desinfeksjonspraksis_x000D_&amp;14en excel-versjon av rapport 170/2009&amp;R&amp;"Times New Roman,Fet"&amp;12&amp;K000000Revidert januar 2014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zoomScaleNormal="100" workbookViewId="0">
      <selection activeCell="E46" sqref="E46:G46"/>
    </sheetView>
  </sheetViews>
  <sheetFormatPr baseColWidth="10" defaultColWidth="10.7109375" defaultRowHeight="15" x14ac:dyDescent="0.25"/>
  <cols>
    <col min="1" max="1" width="3.28515625" style="1" customWidth="1"/>
    <col min="2" max="2" width="4.85546875" style="1" customWidth="1"/>
    <col min="3" max="3" width="26.28515625" style="1" customWidth="1"/>
    <col min="4" max="4" width="15.28515625" style="1" customWidth="1"/>
    <col min="5" max="5" width="12.28515625" style="1" customWidth="1"/>
    <col min="6" max="6" width="12.7109375" style="1" customWidth="1"/>
    <col min="7" max="7" width="11.7109375" style="1" customWidth="1"/>
    <col min="8" max="8" width="14.42578125" style="1" customWidth="1"/>
    <col min="9" max="9" width="13" style="1" customWidth="1"/>
    <col min="10" max="10" width="12.28515625" style="1" customWidth="1"/>
    <col min="11" max="11" width="11.7109375" style="1" customWidth="1"/>
    <col min="12" max="12" width="11.42578125" style="1" customWidth="1"/>
    <col min="13" max="16384" width="10.7109375" style="1"/>
  </cols>
  <sheetData>
    <row r="1" spans="1:16" ht="15.75" thickBot="1" x14ac:dyDescent="0.3">
      <c r="A1" s="619"/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620"/>
      <c r="P1" s="638"/>
    </row>
    <row r="2" spans="1:16" ht="30.75" customHeight="1" x14ac:dyDescent="0.25">
      <c r="A2" s="574"/>
      <c r="B2" s="322"/>
      <c r="C2" s="798" t="str">
        <f>Innsjø!B2</f>
        <v>Vannverkseier:</v>
      </c>
      <c r="D2" s="800"/>
      <c r="E2" s="1008" t="str">
        <f>Innsjø!D2</f>
        <v>BB</v>
      </c>
      <c r="F2" s="1008"/>
      <c r="G2" s="1008"/>
      <c r="H2" s="1008"/>
      <c r="I2" s="1009"/>
      <c r="J2" s="323"/>
      <c r="K2" s="323"/>
      <c r="L2" s="323"/>
      <c r="M2" s="323"/>
      <c r="N2" s="323"/>
      <c r="O2" s="323"/>
      <c r="P2" s="624"/>
    </row>
    <row r="3" spans="1:16" ht="33.75" customHeight="1" thickBot="1" x14ac:dyDescent="0.3">
      <c r="A3" s="574"/>
      <c r="B3" s="322"/>
      <c r="C3" s="1017" t="str">
        <f>Innsjø!B3</f>
        <v>Vannverkets navn:</v>
      </c>
      <c r="D3" s="1018"/>
      <c r="E3" s="1010" t="str">
        <f>Innsjø!D3</f>
        <v>VV</v>
      </c>
      <c r="F3" s="1010"/>
      <c r="G3" s="1010"/>
      <c r="H3" s="1010"/>
      <c r="I3" s="1011"/>
      <c r="J3" s="323"/>
      <c r="K3" s="323"/>
      <c r="L3" s="323"/>
      <c r="M3" s="323"/>
      <c r="N3" s="323"/>
      <c r="O3" s="323"/>
      <c r="P3" s="624"/>
    </row>
    <row r="4" spans="1:16" ht="22.5" customHeight="1" thickBot="1" x14ac:dyDescent="0.35">
      <c r="A4" s="574"/>
      <c r="B4" s="322"/>
      <c r="C4" s="330"/>
      <c r="D4" s="330"/>
      <c r="E4" s="320"/>
      <c r="F4" s="320"/>
      <c r="G4" s="320"/>
      <c r="H4" s="320"/>
      <c r="I4" s="323"/>
      <c r="J4" s="323"/>
      <c r="K4" s="323"/>
      <c r="L4" s="323"/>
      <c r="M4" s="323"/>
      <c r="N4" s="323"/>
      <c r="O4" s="323"/>
      <c r="P4" s="624"/>
    </row>
    <row r="5" spans="1:16" ht="42.75" customHeight="1" thickBot="1" x14ac:dyDescent="0.3">
      <c r="A5" s="574"/>
      <c r="B5" s="322"/>
      <c r="C5" s="1121" t="s">
        <v>357</v>
      </c>
      <c r="D5" s="1122"/>
      <c r="E5" s="1122"/>
      <c r="F5" s="1122"/>
      <c r="G5" s="1122"/>
      <c r="H5" s="1122"/>
      <c r="I5" s="1123"/>
      <c r="J5" s="323"/>
      <c r="K5" s="323"/>
      <c r="L5" s="323"/>
      <c r="M5" s="323"/>
      <c r="N5" s="323"/>
      <c r="O5" s="323"/>
      <c r="P5" s="624"/>
    </row>
    <row r="6" spans="1:16" ht="22.5" customHeight="1" thickBot="1" x14ac:dyDescent="0.35">
      <c r="A6" s="574"/>
      <c r="B6" s="322"/>
      <c r="C6" s="330"/>
      <c r="D6" s="330"/>
      <c r="E6" s="320"/>
      <c r="F6" s="320"/>
      <c r="G6" s="320"/>
      <c r="H6" s="320"/>
      <c r="I6" s="323"/>
      <c r="J6" s="323"/>
      <c r="K6" s="323"/>
      <c r="L6" s="323"/>
      <c r="M6" s="323"/>
      <c r="N6" s="323"/>
      <c r="O6" s="323"/>
      <c r="P6" s="624"/>
    </row>
    <row r="7" spans="1:16" ht="26.25" customHeight="1" x14ac:dyDescent="0.25">
      <c r="A7" s="574"/>
      <c r="B7" s="322"/>
      <c r="C7" s="1019" t="s">
        <v>348</v>
      </c>
      <c r="D7" s="1020"/>
      <c r="E7" s="1021"/>
      <c r="F7" s="559" t="s">
        <v>97</v>
      </c>
      <c r="G7" s="559" t="s">
        <v>98</v>
      </c>
      <c r="H7" s="559" t="s">
        <v>163</v>
      </c>
      <c r="I7" s="560" t="s">
        <v>171</v>
      </c>
      <c r="J7" s="271"/>
      <c r="K7" s="271"/>
      <c r="L7" s="212"/>
      <c r="M7" s="212"/>
      <c r="N7" s="212"/>
      <c r="O7" s="212"/>
      <c r="P7" s="624"/>
    </row>
    <row r="8" spans="1:16" ht="30" customHeight="1" x14ac:dyDescent="0.25">
      <c r="A8" s="574"/>
      <c r="B8" s="322"/>
      <c r="C8" s="1022"/>
      <c r="D8" s="1023"/>
      <c r="E8" s="1024"/>
      <c r="F8" s="236" t="s">
        <v>169</v>
      </c>
      <c r="G8" s="236" t="s">
        <v>169</v>
      </c>
      <c r="H8" s="236" t="s">
        <v>170</v>
      </c>
      <c r="I8" s="148" t="s">
        <v>170</v>
      </c>
      <c r="J8" s="254"/>
      <c r="K8" s="254"/>
      <c r="L8" s="212"/>
      <c r="M8" s="212"/>
      <c r="N8" s="212"/>
      <c r="O8" s="212"/>
      <c r="P8" s="624"/>
    </row>
    <row r="9" spans="1:16" ht="30.75" customHeight="1" thickBot="1" x14ac:dyDescent="0.3">
      <c r="A9" s="574"/>
      <c r="B9" s="322"/>
      <c r="C9" s="1061" t="s">
        <v>350</v>
      </c>
      <c r="D9" s="1062"/>
      <c r="E9" s="1063"/>
      <c r="F9" s="149">
        <f>IF($C$9="","",IF($C$9="Velg kategori","",VLOOKUP($C$9,key!$A$33:$B$35,2,FALSE)))</f>
        <v>0</v>
      </c>
      <c r="G9" s="149">
        <f>IF($C$9="","",IF($C$9="Velg kategori","",VLOOKUP($C$9,key!$C$33:$D$35,2,FALSE)))</f>
        <v>0</v>
      </c>
      <c r="H9" s="149">
        <f>IF($C$9="","",IF($C$9="Velg kategori","",VLOOKUP($C$9,key!$E$33:$F$35,2,FALSE)))</f>
        <v>0</v>
      </c>
      <c r="I9" s="150">
        <f>IF($C$9="","",IF($C$9="Velg kategori","",VLOOKUP($C$9,key!$G$33:$H$35,2,FALSE)))</f>
        <v>0</v>
      </c>
      <c r="J9" s="254"/>
      <c r="K9" s="254"/>
      <c r="L9" s="212"/>
      <c r="M9" s="212"/>
      <c r="N9" s="212"/>
      <c r="O9" s="212"/>
      <c r="P9" s="624"/>
    </row>
    <row r="10" spans="1:16" ht="22.5" customHeight="1" thickBot="1" x14ac:dyDescent="0.3">
      <c r="A10" s="574"/>
      <c r="B10" s="322"/>
      <c r="C10" s="1016"/>
      <c r="D10" s="1016"/>
      <c r="E10" s="320"/>
      <c r="F10" s="320"/>
      <c r="G10" s="320"/>
      <c r="H10" s="320"/>
      <c r="I10" s="323"/>
      <c r="J10" s="323"/>
      <c r="K10" s="323"/>
      <c r="L10" s="323"/>
      <c r="M10" s="323"/>
      <c r="N10" s="323"/>
      <c r="O10" s="323"/>
      <c r="P10" s="624"/>
    </row>
    <row r="11" spans="1:16" ht="60.75" customHeight="1" x14ac:dyDescent="0.25">
      <c r="A11" s="574"/>
      <c r="B11" s="322"/>
      <c r="C11" s="1019" t="s">
        <v>189</v>
      </c>
      <c r="D11" s="1020"/>
      <c r="E11" s="1020"/>
      <c r="F11" s="1020"/>
      <c r="G11" s="1020"/>
      <c r="H11" s="1020"/>
      <c r="I11" s="1120"/>
      <c r="J11" s="212"/>
      <c r="K11" s="212"/>
      <c r="L11" s="212"/>
      <c r="M11" s="212"/>
      <c r="N11" s="212"/>
      <c r="O11" s="212"/>
      <c r="P11" s="624"/>
    </row>
    <row r="12" spans="1:16" ht="30" customHeight="1" x14ac:dyDescent="0.25">
      <c r="A12" s="574"/>
      <c r="B12" s="322"/>
      <c r="C12" s="1047" t="s">
        <v>330</v>
      </c>
      <c r="D12" s="1048"/>
      <c r="E12" s="1048"/>
      <c r="F12" s="1048"/>
      <c r="G12" s="1048"/>
      <c r="H12" s="727"/>
      <c r="I12" s="555" t="s">
        <v>143</v>
      </c>
      <c r="J12" s="212"/>
      <c r="K12" s="212"/>
      <c r="L12" s="212"/>
      <c r="M12" s="212"/>
      <c r="N12" s="212"/>
      <c r="O12" s="212"/>
      <c r="P12" s="624"/>
    </row>
    <row r="13" spans="1:16" ht="26.25" customHeight="1" x14ac:dyDescent="0.25">
      <c r="A13" s="574"/>
      <c r="B13" s="322"/>
      <c r="C13" s="1047" t="s">
        <v>367</v>
      </c>
      <c r="D13" s="1048"/>
      <c r="E13" s="1048"/>
      <c r="F13" s="1048"/>
      <c r="G13" s="1048"/>
      <c r="H13" s="727"/>
      <c r="I13" s="445" t="s">
        <v>248</v>
      </c>
      <c r="J13" s="212"/>
      <c r="K13" s="212"/>
      <c r="L13" s="212"/>
      <c r="M13" s="212"/>
      <c r="N13" s="212"/>
      <c r="O13" s="212"/>
      <c r="P13" s="624"/>
    </row>
    <row r="14" spans="1:16" ht="24.75" customHeight="1" x14ac:dyDescent="0.25">
      <c r="A14" s="574"/>
      <c r="B14" s="322"/>
      <c r="C14" s="1064" t="s">
        <v>351</v>
      </c>
      <c r="D14" s="1065"/>
      <c r="E14" s="1065"/>
      <c r="F14" s="1065"/>
      <c r="G14" s="1065"/>
      <c r="H14" s="727"/>
      <c r="I14" s="456" t="s">
        <v>248</v>
      </c>
      <c r="J14" s="212"/>
      <c r="K14" s="212"/>
      <c r="L14" s="212"/>
      <c r="M14" s="212"/>
      <c r="N14" s="212"/>
      <c r="O14" s="212"/>
      <c r="P14" s="624"/>
    </row>
    <row r="15" spans="1:16" ht="24.75" customHeight="1" x14ac:dyDescent="0.25">
      <c r="A15" s="574"/>
      <c r="B15" s="322"/>
      <c r="C15" s="1064" t="s">
        <v>352</v>
      </c>
      <c r="D15" s="1065"/>
      <c r="E15" s="1065"/>
      <c r="F15" s="1065"/>
      <c r="G15" s="1065"/>
      <c r="H15" s="728"/>
      <c r="I15" s="456" t="s">
        <v>248</v>
      </c>
      <c r="J15" s="212"/>
      <c r="K15" s="212"/>
      <c r="L15" s="212"/>
      <c r="M15" s="212"/>
      <c r="N15" s="212"/>
      <c r="O15" s="212"/>
      <c r="P15" s="624"/>
    </row>
    <row r="16" spans="1:16" ht="25.5" customHeight="1" thickBot="1" x14ac:dyDescent="0.3">
      <c r="A16" s="574"/>
      <c r="B16" s="322"/>
      <c r="C16" s="1066" t="s">
        <v>381</v>
      </c>
      <c r="D16" s="1067"/>
      <c r="E16" s="1067"/>
      <c r="F16" s="1067"/>
      <c r="G16" s="1067"/>
      <c r="H16" s="458"/>
      <c r="I16" s="455" t="s">
        <v>237</v>
      </c>
      <c r="J16" s="212"/>
      <c r="K16" s="212"/>
      <c r="L16" s="212"/>
      <c r="M16" s="212"/>
      <c r="N16" s="212"/>
      <c r="O16" s="212"/>
      <c r="P16" s="624"/>
    </row>
    <row r="17" spans="1:16" x14ac:dyDescent="0.25">
      <c r="A17" s="574"/>
      <c r="B17" s="32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624"/>
    </row>
    <row r="18" spans="1:16" ht="43.5" customHeight="1" thickBot="1" x14ac:dyDescent="0.3">
      <c r="A18" s="574"/>
      <c r="B18" s="322"/>
      <c r="C18" s="984" t="s">
        <v>251</v>
      </c>
      <c r="D18" s="984"/>
      <c r="E18" s="984"/>
      <c r="F18" s="984"/>
      <c r="G18" s="984"/>
      <c r="H18" s="984"/>
      <c r="I18" s="984"/>
      <c r="J18" s="984"/>
      <c r="K18" s="984"/>
      <c r="L18" s="212"/>
      <c r="M18" s="212"/>
      <c r="N18" s="212"/>
      <c r="O18" s="212"/>
      <c r="P18" s="624"/>
    </row>
    <row r="19" spans="1:16" x14ac:dyDescent="0.25">
      <c r="A19" s="574"/>
      <c r="B19" s="322"/>
      <c r="C19" s="990"/>
      <c r="D19" s="999" t="s">
        <v>117</v>
      </c>
      <c r="E19" s="1000"/>
      <c r="F19" s="1000" t="s">
        <v>67</v>
      </c>
      <c r="G19" s="1003"/>
      <c r="H19" s="985" t="s">
        <v>119</v>
      </c>
      <c r="I19" s="985"/>
      <c r="J19" s="985" t="s">
        <v>119</v>
      </c>
      <c r="K19" s="986"/>
      <c r="L19" s="212"/>
      <c r="M19" s="212"/>
      <c r="N19" s="212"/>
      <c r="O19" s="212"/>
      <c r="P19" s="624"/>
    </row>
    <row r="20" spans="1:16" x14ac:dyDescent="0.25">
      <c r="A20" s="574"/>
      <c r="B20" s="322"/>
      <c r="C20" s="991"/>
      <c r="D20" s="1001"/>
      <c r="E20" s="1002"/>
      <c r="F20" s="1002"/>
      <c r="G20" s="1004"/>
      <c r="H20" s="989" t="s">
        <v>232</v>
      </c>
      <c r="I20" s="989"/>
      <c r="J20" s="989" t="s">
        <v>233</v>
      </c>
      <c r="K20" s="1056"/>
      <c r="L20" s="212"/>
      <c r="M20" s="212"/>
      <c r="N20" s="212"/>
      <c r="O20" s="212"/>
      <c r="P20" s="624"/>
    </row>
    <row r="21" spans="1:16" x14ac:dyDescent="0.25">
      <c r="A21" s="574"/>
      <c r="B21" s="322"/>
      <c r="C21" s="991"/>
      <c r="D21" s="998" t="s">
        <v>118</v>
      </c>
      <c r="E21" s="997"/>
      <c r="F21" s="997" t="s">
        <v>118</v>
      </c>
      <c r="G21" s="997"/>
      <c r="H21" s="997" t="s">
        <v>120</v>
      </c>
      <c r="I21" s="997"/>
      <c r="J21" s="997" t="s">
        <v>120</v>
      </c>
      <c r="K21" s="1057"/>
      <c r="L21" s="212"/>
      <c r="M21" s="212"/>
      <c r="N21" s="212"/>
      <c r="O21" s="212"/>
      <c r="P21" s="624"/>
    </row>
    <row r="22" spans="1:16" ht="15.75" thickBot="1" x14ac:dyDescent="0.3">
      <c r="A22" s="574"/>
      <c r="B22" s="322"/>
      <c r="C22" s="992"/>
      <c r="D22" s="265" t="s">
        <v>234</v>
      </c>
      <c r="E22" s="266" t="s">
        <v>235</v>
      </c>
      <c r="F22" s="266" t="s">
        <v>234</v>
      </c>
      <c r="G22" s="266" t="s">
        <v>236</v>
      </c>
      <c r="H22" s="266" t="s">
        <v>234</v>
      </c>
      <c r="I22" s="266" t="s">
        <v>236</v>
      </c>
      <c r="J22" s="266" t="s">
        <v>234</v>
      </c>
      <c r="K22" s="267" t="s">
        <v>236</v>
      </c>
      <c r="L22" s="212"/>
      <c r="M22" s="212"/>
      <c r="N22" s="212"/>
      <c r="O22" s="212"/>
      <c r="P22" s="624"/>
    </row>
    <row r="23" spans="1:16" ht="15.75" thickBot="1" x14ac:dyDescent="0.3">
      <c r="A23" s="574"/>
      <c r="B23" s="322"/>
      <c r="C23" s="459" t="s">
        <v>125</v>
      </c>
      <c r="D23" s="460">
        <v>1</v>
      </c>
      <c r="E23" s="461">
        <v>1.5</v>
      </c>
      <c r="F23" s="462">
        <v>10</v>
      </c>
      <c r="G23" s="462">
        <v>15</v>
      </c>
      <c r="H23" s="463">
        <v>20</v>
      </c>
      <c r="I23" s="463">
        <v>30</v>
      </c>
      <c r="J23" s="463" t="s">
        <v>174</v>
      </c>
      <c r="K23" s="464" t="s">
        <v>175</v>
      </c>
      <c r="L23" s="212"/>
      <c r="M23" s="212"/>
      <c r="N23" s="212"/>
      <c r="O23" s="212"/>
      <c r="P23" s="624"/>
    </row>
    <row r="24" spans="1:16" x14ac:dyDescent="0.25">
      <c r="A24" s="574"/>
      <c r="B24" s="322"/>
      <c r="C24" s="996"/>
      <c r="D24" s="996"/>
      <c r="E24" s="996"/>
      <c r="F24" s="996"/>
      <c r="G24" s="996"/>
      <c r="H24" s="996"/>
      <c r="I24" s="996"/>
      <c r="J24" s="996"/>
      <c r="K24" s="996"/>
      <c r="L24" s="212"/>
      <c r="M24" s="212"/>
      <c r="N24" s="212"/>
      <c r="O24" s="212"/>
      <c r="P24" s="624"/>
    </row>
    <row r="25" spans="1:16" ht="25.5" customHeight="1" thickBot="1" x14ac:dyDescent="0.3">
      <c r="A25" s="574"/>
      <c r="B25" s="322"/>
      <c r="C25" s="229" t="s">
        <v>252</v>
      </c>
      <c r="D25" s="272"/>
      <c r="E25" s="272"/>
      <c r="F25" s="272"/>
      <c r="G25" s="272"/>
      <c r="H25" s="272"/>
      <c r="I25" s="272"/>
      <c r="J25" s="212"/>
      <c r="K25" s="212"/>
      <c r="L25" s="212"/>
      <c r="M25" s="212"/>
      <c r="N25" s="212"/>
      <c r="O25" s="212"/>
      <c r="P25" s="624"/>
    </row>
    <row r="26" spans="1:16" ht="19.5" customHeight="1" x14ac:dyDescent="0.25">
      <c r="A26" s="574"/>
      <c r="B26" s="322"/>
      <c r="C26" s="1058" t="s">
        <v>127</v>
      </c>
      <c r="D26" s="981" t="s">
        <v>355</v>
      </c>
      <c r="E26" s="987" t="s">
        <v>240</v>
      </c>
      <c r="F26" s="987"/>
      <c r="G26" s="1069" t="s">
        <v>128</v>
      </c>
      <c r="H26" s="1070"/>
      <c r="I26" s="1071"/>
      <c r="J26" s="1078" t="s">
        <v>356</v>
      </c>
      <c r="K26" s="1079"/>
      <c r="L26" s="1079"/>
      <c r="M26" s="1079"/>
      <c r="N26" s="1079"/>
      <c r="O26" s="1080"/>
      <c r="P26" s="624"/>
    </row>
    <row r="27" spans="1:16" ht="21" customHeight="1" x14ac:dyDescent="0.25">
      <c r="A27" s="574"/>
      <c r="B27" s="322"/>
      <c r="C27" s="1059"/>
      <c r="D27" s="982"/>
      <c r="E27" s="988"/>
      <c r="F27" s="988"/>
      <c r="G27" s="1072"/>
      <c r="H27" s="1073"/>
      <c r="I27" s="1074"/>
      <c r="J27" s="1081" t="s">
        <v>354</v>
      </c>
      <c r="K27" s="1082"/>
      <c r="L27" s="1082"/>
      <c r="M27" s="1082"/>
      <c r="N27" s="1082"/>
      <c r="O27" s="1083"/>
      <c r="P27" s="624"/>
    </row>
    <row r="28" spans="1:16" ht="17.25" thickBot="1" x14ac:dyDescent="0.3">
      <c r="A28" s="574"/>
      <c r="B28" s="322"/>
      <c r="C28" s="1060"/>
      <c r="D28" s="983"/>
      <c r="E28" s="569" t="s">
        <v>241</v>
      </c>
      <c r="F28" s="273" t="s">
        <v>242</v>
      </c>
      <c r="G28" s="1075"/>
      <c r="H28" s="1076"/>
      <c r="I28" s="1077"/>
      <c r="J28" s="1086">
        <v>1</v>
      </c>
      <c r="K28" s="1068"/>
      <c r="L28" s="1068">
        <v>2</v>
      </c>
      <c r="M28" s="1068"/>
      <c r="N28" s="1084">
        <v>3</v>
      </c>
      <c r="O28" s="1085"/>
      <c r="P28" s="624"/>
    </row>
    <row r="29" spans="1:16" ht="37.35" customHeight="1" x14ac:dyDescent="0.25">
      <c r="A29" s="574"/>
      <c r="B29" s="322"/>
      <c r="C29" s="274" t="s">
        <v>140</v>
      </c>
      <c r="D29" s="432"/>
      <c r="E29" s="489">
        <v>0.1</v>
      </c>
      <c r="F29" s="275">
        <v>0.3</v>
      </c>
      <c r="G29" s="993" t="s">
        <v>129</v>
      </c>
      <c r="H29" s="994"/>
      <c r="I29" s="995"/>
      <c r="J29" s="435"/>
      <c r="K29" s="489">
        <v>1</v>
      </c>
      <c r="L29" s="435"/>
      <c r="M29" s="489">
        <v>2</v>
      </c>
      <c r="N29" s="435"/>
      <c r="O29" s="205">
        <v>2.5</v>
      </c>
      <c r="P29" s="624"/>
    </row>
    <row r="30" spans="1:16" ht="35.1" customHeight="1" x14ac:dyDescent="0.25">
      <c r="A30" s="574"/>
      <c r="B30" s="322"/>
      <c r="C30" s="276" t="s">
        <v>130</v>
      </c>
      <c r="D30" s="433"/>
      <c r="E30" s="490">
        <v>0.3</v>
      </c>
      <c r="F30" s="277">
        <v>0.4</v>
      </c>
      <c r="G30" s="974" t="s">
        <v>238</v>
      </c>
      <c r="H30" s="975"/>
      <c r="I30" s="976"/>
      <c r="J30" s="436"/>
      <c r="K30" s="490">
        <v>1</v>
      </c>
      <c r="L30" s="436"/>
      <c r="M30" s="490">
        <v>1.8</v>
      </c>
      <c r="N30" s="436"/>
      <c r="O30" s="196">
        <v>2</v>
      </c>
      <c r="P30" s="624"/>
    </row>
    <row r="31" spans="1:16" ht="41.1" customHeight="1" x14ac:dyDescent="0.25">
      <c r="A31" s="574"/>
      <c r="B31" s="322"/>
      <c r="C31" s="276" t="s">
        <v>132</v>
      </c>
      <c r="D31" s="433"/>
      <c r="E31" s="490">
        <v>0.5</v>
      </c>
      <c r="F31" s="277">
        <v>0.5</v>
      </c>
      <c r="G31" s="974" t="s">
        <v>133</v>
      </c>
      <c r="H31" s="975"/>
      <c r="I31" s="976"/>
      <c r="J31" s="436"/>
      <c r="K31" s="490">
        <v>1</v>
      </c>
      <c r="L31" s="436"/>
      <c r="M31" s="490">
        <v>1.5</v>
      </c>
      <c r="N31" s="436"/>
      <c r="O31" s="196">
        <v>1.8</v>
      </c>
      <c r="P31" s="624"/>
    </row>
    <row r="32" spans="1:16" ht="35.1" customHeight="1" x14ac:dyDescent="0.25">
      <c r="A32" s="574"/>
      <c r="B32" s="322"/>
      <c r="C32" s="276" t="s">
        <v>134</v>
      </c>
      <c r="D32" s="433"/>
      <c r="E32" s="490">
        <v>0.7</v>
      </c>
      <c r="F32" s="277">
        <v>0.7</v>
      </c>
      <c r="G32" s="974" t="s">
        <v>135</v>
      </c>
      <c r="H32" s="975"/>
      <c r="I32" s="976"/>
      <c r="J32" s="436"/>
      <c r="K32" s="490">
        <v>1</v>
      </c>
      <c r="L32" s="436"/>
      <c r="M32" s="490">
        <v>1.3</v>
      </c>
      <c r="N32" s="436"/>
      <c r="O32" s="196">
        <v>1.4</v>
      </c>
      <c r="P32" s="624"/>
    </row>
    <row r="33" spans="1:16" ht="35.1" customHeight="1" x14ac:dyDescent="0.25">
      <c r="A33" s="574"/>
      <c r="B33" s="322"/>
      <c r="C33" s="276" t="s">
        <v>136</v>
      </c>
      <c r="D33" s="433"/>
      <c r="E33" s="490">
        <v>0.9</v>
      </c>
      <c r="F33" s="277">
        <v>0.9</v>
      </c>
      <c r="G33" s="974" t="s">
        <v>137</v>
      </c>
      <c r="H33" s="975"/>
      <c r="I33" s="976"/>
      <c r="J33" s="436"/>
      <c r="K33" s="490">
        <v>1</v>
      </c>
      <c r="L33" s="436"/>
      <c r="M33" s="490">
        <v>1.1000000000000001</v>
      </c>
      <c r="N33" s="436"/>
      <c r="O33" s="196">
        <v>1.1000000000000001</v>
      </c>
      <c r="P33" s="624"/>
    </row>
    <row r="34" spans="1:16" ht="36.75" customHeight="1" thickBot="1" x14ac:dyDescent="0.3">
      <c r="A34" s="574"/>
      <c r="B34" s="322"/>
      <c r="C34" s="278" t="s">
        <v>141</v>
      </c>
      <c r="D34" s="434"/>
      <c r="E34" s="491">
        <v>1</v>
      </c>
      <c r="F34" s="279">
        <v>1</v>
      </c>
      <c r="G34" s="977" t="s">
        <v>138</v>
      </c>
      <c r="H34" s="978"/>
      <c r="I34" s="979"/>
      <c r="J34" s="437"/>
      <c r="K34" s="491">
        <v>1</v>
      </c>
      <c r="L34" s="437"/>
      <c r="M34" s="491">
        <v>1</v>
      </c>
      <c r="N34" s="437"/>
      <c r="O34" s="200">
        <v>1</v>
      </c>
      <c r="P34" s="624"/>
    </row>
    <row r="35" spans="1:16" x14ac:dyDescent="0.25">
      <c r="A35" s="574"/>
      <c r="B35" s="322"/>
      <c r="C35" s="980" t="s">
        <v>239</v>
      </c>
      <c r="D35" s="980"/>
      <c r="E35" s="980"/>
      <c r="F35" s="980"/>
      <c r="G35" s="980"/>
      <c r="H35" s="980"/>
      <c r="I35" s="980"/>
      <c r="J35" s="212"/>
      <c r="K35" s="212"/>
      <c r="L35" s="212"/>
      <c r="M35" s="212"/>
      <c r="N35" s="212"/>
      <c r="O35" s="212"/>
      <c r="P35" s="624"/>
    </row>
    <row r="36" spans="1:16" ht="21.75" customHeight="1" thickBot="1" x14ac:dyDescent="0.3">
      <c r="A36" s="574"/>
      <c r="B36" s="322"/>
      <c r="C36" s="253"/>
      <c r="D36" s="253"/>
      <c r="E36" s="253"/>
      <c r="F36" s="253"/>
      <c r="G36" s="253"/>
      <c r="H36" s="253"/>
      <c r="I36" s="253"/>
      <c r="J36" s="212"/>
      <c r="K36" s="212"/>
      <c r="L36" s="212"/>
      <c r="M36" s="212"/>
      <c r="N36" s="212"/>
      <c r="O36" s="212"/>
      <c r="P36" s="624"/>
    </row>
    <row r="37" spans="1:16" ht="40.5" customHeight="1" x14ac:dyDescent="0.25">
      <c r="A37" s="574"/>
      <c r="B37" s="322"/>
      <c r="C37" s="1095" t="s">
        <v>246</v>
      </c>
      <c r="D37" s="1096"/>
      <c r="E37" s="1096"/>
      <c r="F37" s="1096"/>
      <c r="G37" s="1097"/>
      <c r="H37" s="312"/>
      <c r="I37" s="212"/>
      <c r="J37" s="212"/>
      <c r="K37" s="212"/>
      <c r="L37" s="212"/>
      <c r="M37" s="212"/>
      <c r="N37" s="212"/>
      <c r="O37" s="212"/>
      <c r="P37" s="624"/>
    </row>
    <row r="38" spans="1:16" ht="29.25" customHeight="1" x14ac:dyDescent="0.25">
      <c r="A38" s="574"/>
      <c r="B38" s="322"/>
      <c r="C38" s="1093" t="s">
        <v>260</v>
      </c>
      <c r="D38" s="1094"/>
      <c r="E38" s="1094"/>
      <c r="F38" s="1033" t="str">
        <f>IF(D29="Ja",E29,IF(D30="ja",E30,IF(D31="ja",E31,IF(D32="ja",E32,IF(D33="ja",E33,IF(D34="ja",E34,"Må angi en verdi!"))))))</f>
        <v>Må angi en verdi!</v>
      </c>
      <c r="G38" s="1034"/>
      <c r="H38" s="321"/>
      <c r="I38" s="212"/>
      <c r="J38" s="212"/>
      <c r="K38" s="212"/>
      <c r="L38" s="212"/>
      <c r="M38" s="212"/>
      <c r="N38" s="212"/>
      <c r="O38" s="212"/>
      <c r="P38" s="624"/>
    </row>
    <row r="39" spans="1:16" ht="29.25" customHeight="1" x14ac:dyDescent="0.25">
      <c r="A39" s="574"/>
      <c r="B39" s="322"/>
      <c r="C39" s="1093" t="s">
        <v>259</v>
      </c>
      <c r="D39" s="1094"/>
      <c r="E39" s="1094"/>
      <c r="F39" s="1033" t="str">
        <f>IF(D29="Ja",F29,IF(D30="ja",F30,IF(D31="ja",F31,IF(D32="ja",F32,IF(D33="ja",F33,IF(D34="ja",F34,"Må angi en verdi!"))))))</f>
        <v>Må angi en verdi!</v>
      </c>
      <c r="G39" s="1034"/>
      <c r="H39" s="319"/>
      <c r="I39" s="212"/>
      <c r="J39" s="212"/>
      <c r="K39" s="212"/>
      <c r="L39" s="212"/>
      <c r="M39" s="212"/>
      <c r="N39" s="212"/>
      <c r="O39" s="212"/>
      <c r="P39" s="624"/>
    </row>
    <row r="40" spans="1:16" ht="29.25" customHeight="1" x14ac:dyDescent="0.25">
      <c r="A40" s="574"/>
      <c r="B40" s="322"/>
      <c r="C40" s="1093" t="s">
        <v>244</v>
      </c>
      <c r="D40" s="1094"/>
      <c r="E40" s="1094"/>
      <c r="F40" s="1031" t="str">
        <f>IF($J$29="ja",$K$29,IF($J$30="ja",$K$30,IF($J$31="ja",$K$31,IF($J$32="ja",$K$32,IF($J$33="ja",$K$33,IF($J$34="ja",$K$34,IF($L$29="ja",$M$29,IF($L$30="ja",$M$30,IF($L$31="ja",$M$31,IF($L$32="ja",$M$32,IF($L$33="ja",$M$33,IF($L$34="ja",$M$34,IF($N$29="ja",$O$29,IF($N$30="ja",$O$30,IF($N$31="ja",$O$31,IF($N$32="ja",$O$32,IF($N$33="ja",$O$33,IF($N$34="ja",$O$34,"Må angi en verdi!"))))))))))))))))))</f>
        <v>Må angi en verdi!</v>
      </c>
      <c r="G40" s="1032"/>
      <c r="H40" s="212"/>
      <c r="I40" s="212"/>
      <c r="J40" s="212"/>
      <c r="K40" s="212"/>
      <c r="L40" s="212"/>
      <c r="M40" s="212"/>
      <c r="N40" s="212"/>
      <c r="O40" s="212"/>
      <c r="P40" s="624"/>
    </row>
    <row r="41" spans="1:16" ht="29.25" customHeight="1" x14ac:dyDescent="0.25">
      <c r="A41" s="574"/>
      <c r="B41" s="322"/>
      <c r="C41" s="1093" t="s">
        <v>245</v>
      </c>
      <c r="D41" s="1094"/>
      <c r="E41" s="1094"/>
      <c r="F41" s="1033">
        <f>$H$16</f>
        <v>0</v>
      </c>
      <c r="G41" s="1034"/>
      <c r="H41" s="556"/>
      <c r="I41" s="212"/>
      <c r="J41" s="212"/>
      <c r="K41" s="212"/>
      <c r="L41" s="212"/>
      <c r="M41" s="212"/>
      <c r="N41" s="212"/>
      <c r="O41" s="212"/>
      <c r="P41" s="624"/>
    </row>
    <row r="42" spans="1:16" ht="29.25" customHeight="1" x14ac:dyDescent="0.25">
      <c r="A42" s="574"/>
      <c r="B42" s="322"/>
      <c r="C42" s="1103" t="s">
        <v>253</v>
      </c>
      <c r="D42" s="1104"/>
      <c r="E42" s="1104"/>
      <c r="F42" s="1035" t="str">
        <f>IF($F$38="Må angi en verdi","velg grad av stempelstrøm",IF($F$40="Må angi en verdi!","Velg faktor kammer",$F$38*$F$40*$F$41))</f>
        <v>Velg faktor kammer</v>
      </c>
      <c r="G42" s="1036"/>
      <c r="H42" s="556"/>
      <c r="I42" s="212"/>
      <c r="J42" s="212"/>
      <c r="K42" s="212"/>
      <c r="L42" s="212"/>
      <c r="M42" s="212"/>
      <c r="N42" s="212"/>
      <c r="O42" s="212"/>
      <c r="P42" s="624"/>
    </row>
    <row r="43" spans="1:16" ht="29.25" customHeight="1" thickBot="1" x14ac:dyDescent="0.3">
      <c r="A43" s="574"/>
      <c r="B43" s="322"/>
      <c r="C43" s="1101" t="s">
        <v>261</v>
      </c>
      <c r="D43" s="1102"/>
      <c r="E43" s="1102"/>
      <c r="F43" s="1037" t="str">
        <f>IF($F$39="Må angi en verdi","velg grad av stempelstrøm",IF($F$40="Må angi en verdi!","Velg faktor kammer",$F$39*$F$40*$F$41))</f>
        <v>Velg faktor kammer</v>
      </c>
      <c r="G43" s="1038"/>
      <c r="H43" s="556"/>
      <c r="I43" s="212"/>
      <c r="J43" s="212"/>
      <c r="K43" s="212"/>
      <c r="L43" s="212"/>
      <c r="M43" s="212"/>
      <c r="N43" s="212"/>
      <c r="O43" s="212"/>
      <c r="P43" s="624"/>
    </row>
    <row r="44" spans="1:16" ht="21.75" customHeight="1" thickBot="1" x14ac:dyDescent="0.3">
      <c r="A44" s="574"/>
      <c r="B44" s="322"/>
      <c r="C44" s="639"/>
      <c r="D44" s="229"/>
      <c r="E44" s="229"/>
      <c r="F44" s="229"/>
      <c r="G44" s="229"/>
      <c r="H44" s="229"/>
      <c r="I44" s="229"/>
      <c r="J44" s="212"/>
      <c r="K44" s="212"/>
      <c r="L44" s="212"/>
      <c r="M44" s="212"/>
      <c r="N44" s="212"/>
      <c r="O44" s="212"/>
      <c r="P44" s="624"/>
    </row>
    <row r="45" spans="1:16" ht="42.75" customHeight="1" thickBot="1" x14ac:dyDescent="0.3">
      <c r="A45" s="574"/>
      <c r="B45" s="322"/>
      <c r="C45" s="1105" t="s">
        <v>358</v>
      </c>
      <c r="D45" s="1106"/>
      <c r="E45" s="1106"/>
      <c r="F45" s="1106"/>
      <c r="G45" s="1107"/>
      <c r="H45" s="229"/>
      <c r="I45" s="229"/>
      <c r="J45" s="212"/>
      <c r="K45" s="212"/>
      <c r="L45" s="212"/>
      <c r="M45" s="212"/>
      <c r="N45" s="212"/>
      <c r="O45" s="212"/>
      <c r="P45" s="624"/>
    </row>
    <row r="46" spans="1:16" ht="41.25" customHeight="1" thickBot="1" x14ac:dyDescent="0.3">
      <c r="A46" s="574"/>
      <c r="B46" s="322"/>
      <c r="C46" s="1110" t="s">
        <v>250</v>
      </c>
      <c r="D46" s="1111"/>
      <c r="E46" s="1112" t="s">
        <v>433</v>
      </c>
      <c r="F46" s="1113"/>
      <c r="G46" s="1114"/>
      <c r="H46" s="212"/>
      <c r="I46" s="465"/>
      <c r="J46" s="212"/>
      <c r="K46" s="212"/>
      <c r="L46" s="212"/>
      <c r="M46" s="212"/>
      <c r="N46" s="212"/>
      <c r="O46" s="212"/>
      <c r="P46" s="624"/>
    </row>
    <row r="47" spans="1:16" s="263" customFormat="1" ht="17.25" customHeight="1" x14ac:dyDescent="0.25">
      <c r="A47" s="574"/>
      <c r="B47" s="323"/>
      <c r="C47" s="441" t="s">
        <v>249</v>
      </c>
      <c r="D47" s="442"/>
      <c r="E47" s="442"/>
      <c r="F47" s="442"/>
      <c r="G47" s="443"/>
      <c r="H47" s="212"/>
      <c r="I47" s="212"/>
      <c r="J47" s="212"/>
      <c r="K47" s="212"/>
      <c r="L47" s="212"/>
      <c r="M47" s="212"/>
      <c r="N47" s="212"/>
      <c r="O47" s="212"/>
      <c r="P47" s="682"/>
    </row>
    <row r="48" spans="1:16" s="263" customFormat="1" ht="23.25" customHeight="1" x14ac:dyDescent="0.25">
      <c r="A48" s="574"/>
      <c r="B48" s="323"/>
      <c r="C48" s="444" t="s">
        <v>365</v>
      </c>
      <c r="D48" s="440" t="s">
        <v>248</v>
      </c>
      <c r="E48" s="450" t="e">
        <f>IF(E46="Ved kombinasjon av målinger og beregninger (Cdose, Cut og TOC)",0.1*H12+0.61*H13^0.2+0.14*H13/H12-0.2/H13,IF(E46="Ved målinger (Cdose, Ci og Cut)",H13-(H14/EXP(-E50*F43)),IF(E46="Ved beregninger (Cdose, TOC)",0.1*H12+0.61*H13^0.2+0.14*H13/H12-0.2/H13,"")))</f>
        <v>#DIV/0!</v>
      </c>
      <c r="F48" s="440"/>
      <c r="G48" s="445"/>
      <c r="H48" s="212"/>
      <c r="I48" s="212"/>
      <c r="J48" s="212"/>
      <c r="K48" s="212"/>
      <c r="L48" s="212"/>
      <c r="M48" s="212"/>
      <c r="N48" s="212"/>
      <c r="O48" s="212"/>
      <c r="P48" s="682"/>
    </row>
    <row r="49" spans="1:16" s="263" customFormat="1" ht="23.25" customHeight="1" x14ac:dyDescent="0.25">
      <c r="A49" s="574"/>
      <c r="B49" s="323"/>
      <c r="C49" s="444" t="s">
        <v>263</v>
      </c>
      <c r="D49" s="440" t="s">
        <v>248</v>
      </c>
      <c r="E49" s="450" t="e">
        <f>IF((H13-E48)&lt;0,0,H13-E48)</f>
        <v>#DIV/0!</v>
      </c>
      <c r="F49" s="440"/>
      <c r="G49" s="445"/>
      <c r="H49" s="212"/>
      <c r="I49" s="212"/>
      <c r="J49" s="212"/>
      <c r="K49" s="212"/>
      <c r="L49" s="212"/>
      <c r="M49" s="212"/>
      <c r="N49" s="212"/>
      <c r="O49" s="212"/>
      <c r="P49" s="682"/>
    </row>
    <row r="50" spans="1:16" s="263" customFormat="1" ht="24" customHeight="1" x14ac:dyDescent="0.25">
      <c r="A50" s="574"/>
      <c r="B50" s="323"/>
      <c r="C50" s="444" t="s">
        <v>264</v>
      </c>
      <c r="D50" s="440"/>
      <c r="E50" s="450" t="e">
        <f>IF(E46="Ved kombinasjon av målinger og beregninger (Cdose, Cut og TOC)",-(LN(H14/E49))/F43,IF(E46="Ved målinger (Cdose, Ci og Cut)",-(LN(H14/H15))/F43,IF(E46="Ved beregninger (Cdose, TOC)",0.01*H12^0.5-0.02*E49+0.015,"")))</f>
        <v>#DIV/0!</v>
      </c>
      <c r="F50" s="440"/>
      <c r="G50" s="445"/>
      <c r="H50" s="212"/>
      <c r="I50" s="212"/>
      <c r="J50" s="212"/>
      <c r="K50" s="212"/>
      <c r="L50" s="212"/>
      <c r="M50" s="212"/>
      <c r="N50" s="212"/>
      <c r="O50" s="212"/>
      <c r="P50" s="682"/>
    </row>
    <row r="51" spans="1:16" s="263" customFormat="1" ht="34.5" customHeight="1" thickBot="1" x14ac:dyDescent="0.3">
      <c r="A51" s="574"/>
      <c r="B51" s="323"/>
      <c r="C51" s="446" t="s">
        <v>188</v>
      </c>
      <c r="D51" s="449" t="s">
        <v>247</v>
      </c>
      <c r="E51" s="448" t="e">
        <f>(E49/E50)*(1-EXP(-E50*F42))</f>
        <v>#DIV/0!</v>
      </c>
      <c r="F51" s="1043" t="s">
        <v>254</v>
      </c>
      <c r="G51" s="1044"/>
      <c r="H51" s="212"/>
      <c r="I51" s="212"/>
      <c r="J51" s="212"/>
      <c r="K51" s="212"/>
      <c r="L51" s="212"/>
      <c r="M51" s="212"/>
      <c r="N51" s="212"/>
      <c r="O51" s="212"/>
      <c r="P51" s="682"/>
    </row>
    <row r="52" spans="1:16" s="263" customFormat="1" ht="24" customHeight="1" x14ac:dyDescent="0.25">
      <c r="A52" s="574"/>
      <c r="B52" s="323"/>
      <c r="C52" s="470" t="s">
        <v>366</v>
      </c>
      <c r="D52" s="310"/>
      <c r="E52" s="468"/>
      <c r="F52" s="467"/>
      <c r="G52" s="467"/>
      <c r="H52" s="212"/>
      <c r="I52" s="212"/>
      <c r="J52" s="212"/>
      <c r="K52" s="212"/>
      <c r="L52" s="212"/>
      <c r="M52" s="212"/>
      <c r="N52" s="212"/>
      <c r="O52" s="212"/>
      <c r="P52" s="682"/>
    </row>
    <row r="53" spans="1:16" s="263" customFormat="1" ht="21" customHeight="1" x14ac:dyDescent="0.25">
      <c r="A53" s="574"/>
      <c r="B53" s="323"/>
      <c r="C53" s="471" t="s">
        <v>362</v>
      </c>
      <c r="D53" s="310"/>
      <c r="E53" s="468"/>
      <c r="F53" s="467"/>
      <c r="G53" s="467"/>
      <c r="H53" s="212"/>
      <c r="I53" s="212"/>
      <c r="J53" s="212"/>
      <c r="K53" s="212"/>
      <c r="L53" s="212"/>
      <c r="M53" s="212"/>
      <c r="N53" s="212"/>
      <c r="O53" s="212"/>
      <c r="P53" s="682"/>
    </row>
    <row r="54" spans="1:16" ht="26.25" customHeight="1" thickBot="1" x14ac:dyDescent="0.3">
      <c r="A54" s="574"/>
      <c r="B54" s="322"/>
      <c r="C54" s="310"/>
      <c r="D54" s="310"/>
      <c r="E54" s="310"/>
      <c r="F54" s="310"/>
      <c r="G54" s="310"/>
      <c r="H54" s="229"/>
      <c r="I54" s="212"/>
      <c r="J54" s="212"/>
      <c r="K54" s="212"/>
      <c r="L54" s="212"/>
      <c r="M54" s="212"/>
      <c r="N54" s="212"/>
      <c r="O54" s="212"/>
      <c r="P54" s="624"/>
    </row>
    <row r="55" spans="1:16" ht="33" customHeight="1" thickBot="1" x14ac:dyDescent="0.3">
      <c r="A55" s="574"/>
      <c r="B55" s="322"/>
      <c r="C55" s="1117" t="s">
        <v>336</v>
      </c>
      <c r="D55" s="1118"/>
      <c r="E55" s="1118"/>
      <c r="F55" s="1118"/>
      <c r="G55" s="1118"/>
      <c r="H55" s="1119"/>
      <c r="I55" s="212"/>
      <c r="J55" s="212"/>
      <c r="K55" s="322"/>
      <c r="L55" s="322"/>
      <c r="M55" s="322"/>
      <c r="N55" s="322"/>
      <c r="O55" s="322"/>
      <c r="P55" s="624"/>
    </row>
    <row r="56" spans="1:16" ht="37.5" customHeight="1" x14ac:dyDescent="0.25">
      <c r="A56" s="574"/>
      <c r="B56" s="322"/>
      <c r="C56" s="1115"/>
      <c r="D56" s="1116"/>
      <c r="E56" s="572" t="s">
        <v>97</v>
      </c>
      <c r="F56" s="572" t="s">
        <v>98</v>
      </c>
      <c r="G56" s="510" t="s">
        <v>163</v>
      </c>
      <c r="H56" s="511" t="s">
        <v>171</v>
      </c>
      <c r="I56" s="212"/>
      <c r="J56" s="212"/>
      <c r="K56" s="322"/>
      <c r="L56" s="322"/>
      <c r="M56" s="322"/>
      <c r="N56" s="322"/>
      <c r="O56" s="322"/>
      <c r="P56" s="624"/>
    </row>
    <row r="57" spans="1:16" ht="39.950000000000003" customHeight="1" x14ac:dyDescent="0.25">
      <c r="A57" s="574"/>
      <c r="B57" s="322"/>
      <c r="C57" s="1047" t="s">
        <v>335</v>
      </c>
      <c r="D57" s="1048"/>
      <c r="E57" s="450">
        <v>4</v>
      </c>
      <c r="F57" s="450">
        <v>4</v>
      </c>
      <c r="G57" s="450">
        <v>3</v>
      </c>
      <c r="H57" s="533">
        <v>3</v>
      </c>
      <c r="I57" s="212"/>
      <c r="J57" s="212"/>
      <c r="K57" s="322"/>
      <c r="L57" s="322"/>
      <c r="M57" s="322"/>
      <c r="N57" s="322"/>
      <c r="O57" s="322"/>
      <c r="P57" s="624"/>
    </row>
    <row r="58" spans="1:16" ht="39.950000000000003" customHeight="1" x14ac:dyDescent="0.25">
      <c r="A58" s="574"/>
      <c r="B58" s="322"/>
      <c r="C58" s="565" t="s">
        <v>255</v>
      </c>
      <c r="D58" s="566"/>
      <c r="E58" s="450">
        <f>IF($F$9=0,0,3*$E$51/$F$9)</f>
        <v>0</v>
      </c>
      <c r="F58" s="450">
        <f>IF($G$9=0,0,3*$E$51/$G$9)</f>
        <v>0</v>
      </c>
      <c r="G58" s="450">
        <f>IF($H$9=0,0,2*$E$51/$H$9)</f>
        <v>0</v>
      </c>
      <c r="H58" s="533">
        <f>IF($I$9=0,0,2*$E$51/$I$9)</f>
        <v>0</v>
      </c>
      <c r="I58" s="212"/>
      <c r="J58" s="212"/>
      <c r="K58" s="212"/>
      <c r="L58" s="212"/>
      <c r="M58" s="212"/>
      <c r="N58" s="212"/>
      <c r="O58" s="212"/>
      <c r="P58" s="624"/>
    </row>
    <row r="59" spans="1:16" ht="39.950000000000003" customHeight="1" thickBot="1" x14ac:dyDescent="0.3">
      <c r="A59" s="574"/>
      <c r="B59" s="322"/>
      <c r="C59" s="1045" t="s">
        <v>337</v>
      </c>
      <c r="D59" s="1046"/>
      <c r="E59" s="448">
        <f>IF(E58&lt;4,E58,4)</f>
        <v>0</v>
      </c>
      <c r="F59" s="448">
        <f t="shared" ref="F59" si="0">IF(F58&lt;4,F58,4)</f>
        <v>0</v>
      </c>
      <c r="G59" s="448">
        <f>IF(G58&lt;3,G58,3)</f>
        <v>0</v>
      </c>
      <c r="H59" s="532">
        <f>IF(H58&lt;3,H58,3)</f>
        <v>0</v>
      </c>
      <c r="I59" s="525"/>
      <c r="J59" s="143"/>
      <c r="K59" s="143"/>
      <c r="L59" s="143"/>
      <c r="M59" s="143"/>
      <c r="N59" s="143"/>
      <c r="O59" s="143"/>
      <c r="P59" s="624"/>
    </row>
    <row r="60" spans="1:16" ht="23.25" customHeight="1" thickBot="1" x14ac:dyDescent="0.3">
      <c r="A60" s="574"/>
      <c r="B60" s="322"/>
      <c r="C60" s="523"/>
      <c r="D60" s="523"/>
      <c r="E60" s="524"/>
      <c r="F60" s="466"/>
      <c r="G60" s="524"/>
      <c r="H60" s="212"/>
      <c r="I60" s="143"/>
      <c r="J60" s="143"/>
      <c r="K60" s="143"/>
      <c r="L60" s="143"/>
      <c r="M60" s="143"/>
      <c r="N60" s="143"/>
      <c r="O60" s="143"/>
      <c r="P60" s="624"/>
    </row>
    <row r="61" spans="1:16" ht="48" customHeight="1" thickBot="1" x14ac:dyDescent="0.3">
      <c r="A61" s="574"/>
      <c r="B61" s="1090" t="s">
        <v>461</v>
      </c>
      <c r="C61" s="1091"/>
      <c r="D61" s="1091"/>
      <c r="E61" s="1091"/>
      <c r="F61" s="1091"/>
      <c r="G61" s="1091"/>
      <c r="H61" s="1091"/>
      <c r="I61" s="1091"/>
      <c r="J61" s="1092"/>
      <c r="K61" s="322"/>
      <c r="L61" s="322"/>
      <c r="M61" s="322"/>
      <c r="N61" s="322"/>
      <c r="O61" s="322"/>
      <c r="P61" s="624"/>
    </row>
    <row r="62" spans="1:16" ht="23.25" customHeight="1" thickBot="1" x14ac:dyDescent="0.3">
      <c r="A62" s="574"/>
      <c r="B62" s="322"/>
      <c r="C62" s="322"/>
      <c r="D62" s="322"/>
      <c r="E62" s="322"/>
      <c r="F62" s="322"/>
      <c r="G62" s="322"/>
      <c r="H62" s="322"/>
      <c r="I62" s="322"/>
      <c r="J62" s="322"/>
      <c r="K62" s="322"/>
      <c r="L62" s="322"/>
      <c r="M62" s="322"/>
      <c r="N62" s="322"/>
      <c r="O62" s="322"/>
      <c r="P62" s="624"/>
    </row>
    <row r="63" spans="1:16" ht="63" x14ac:dyDescent="0.25">
      <c r="A63" s="574"/>
      <c r="B63" s="314" t="s">
        <v>37</v>
      </c>
      <c r="C63" s="723" t="s">
        <v>13</v>
      </c>
      <c r="D63" s="316" t="s">
        <v>12</v>
      </c>
      <c r="E63" s="316" t="s">
        <v>2</v>
      </c>
      <c r="F63" s="316" t="s">
        <v>102</v>
      </c>
      <c r="G63" s="317" t="s">
        <v>97</v>
      </c>
      <c r="H63" s="724" t="s">
        <v>98</v>
      </c>
      <c r="I63" s="715" t="s">
        <v>163</v>
      </c>
      <c r="J63" s="223" t="s">
        <v>171</v>
      </c>
      <c r="K63" s="139"/>
      <c r="L63" s="322"/>
      <c r="M63" s="322"/>
      <c r="N63" s="322"/>
      <c r="O63" s="322"/>
      <c r="P63" s="624"/>
    </row>
    <row r="64" spans="1:16" ht="39.950000000000003" customHeight="1" x14ac:dyDescent="0.25">
      <c r="A64" s="574"/>
      <c r="B64" s="716"/>
      <c r="C64" s="717" t="s">
        <v>213</v>
      </c>
      <c r="D64" s="718">
        <v>0.1</v>
      </c>
      <c r="E64" s="719"/>
      <c r="F64" s="720"/>
      <c r="G64" s="177">
        <f>-D64*E59</f>
        <v>0</v>
      </c>
      <c r="H64" s="721">
        <f>-D64*F59</f>
        <v>0</v>
      </c>
      <c r="I64" s="177">
        <f>-G59*$D$64</f>
        <v>0</v>
      </c>
      <c r="J64" s="722">
        <f>-H59*$D$64</f>
        <v>0</v>
      </c>
      <c r="K64" s="322"/>
      <c r="L64" s="322"/>
      <c r="M64" s="322"/>
      <c r="N64" s="322"/>
      <c r="O64" s="322"/>
      <c r="P64" s="624"/>
    </row>
    <row r="65" spans="1:16" ht="39.950000000000003" customHeight="1" x14ac:dyDescent="0.25">
      <c r="A65" s="574"/>
      <c r="B65" s="285" t="s">
        <v>38</v>
      </c>
      <c r="C65" s="286" t="s">
        <v>256</v>
      </c>
      <c r="D65" s="287">
        <v>0.1</v>
      </c>
      <c r="E65" s="419" t="s">
        <v>17</v>
      </c>
      <c r="F65" s="213">
        <f>IF(E65="nei",0,D65)</f>
        <v>0</v>
      </c>
      <c r="G65" s="290">
        <f>E59*$F$65</f>
        <v>0</v>
      </c>
      <c r="H65" s="515">
        <f>F59*$F$65</f>
        <v>0</v>
      </c>
      <c r="I65" s="167">
        <f>G59*$F$65</f>
        <v>0</v>
      </c>
      <c r="J65" s="516">
        <f>H59*$F$65</f>
        <v>0</v>
      </c>
      <c r="K65" s="322"/>
      <c r="L65" s="322"/>
      <c r="M65" s="322"/>
      <c r="N65" s="322"/>
      <c r="O65" s="322"/>
      <c r="P65" s="624"/>
    </row>
    <row r="66" spans="1:16" ht="39.950000000000003" customHeight="1" x14ac:dyDescent="0.25">
      <c r="A66" s="574"/>
      <c r="B66" s="285" t="s">
        <v>39</v>
      </c>
      <c r="C66" s="286" t="s">
        <v>257</v>
      </c>
      <c r="D66" s="287">
        <v>0.05</v>
      </c>
      <c r="E66" s="419" t="s">
        <v>17</v>
      </c>
      <c r="F66" s="213">
        <f>IF(E66="nei",0,D66)</f>
        <v>0</v>
      </c>
      <c r="G66" s="290">
        <f>E59*$F$66</f>
        <v>0</v>
      </c>
      <c r="H66" s="515">
        <f>F59*$F$66</f>
        <v>0</v>
      </c>
      <c r="I66" s="167">
        <f>G59*$F$66</f>
        <v>0</v>
      </c>
      <c r="J66" s="516">
        <f>H59*$F$66</f>
        <v>0</v>
      </c>
      <c r="K66" s="322"/>
      <c r="L66" s="322"/>
      <c r="M66" s="322"/>
      <c r="N66" s="322"/>
      <c r="O66" s="322"/>
      <c r="P66" s="624"/>
    </row>
    <row r="67" spans="1:16" ht="39.950000000000003" customHeight="1" thickBot="1" x14ac:dyDescent="0.3">
      <c r="A67" s="574"/>
      <c r="B67" s="1039" t="s">
        <v>9</v>
      </c>
      <c r="C67" s="1040"/>
      <c r="D67" s="291"/>
      <c r="E67" s="292"/>
      <c r="F67" s="293"/>
      <c r="G67" s="294">
        <f>IF(F65+F66&gt;10%,0,G64+G65+G66)</f>
        <v>0</v>
      </c>
      <c r="H67" s="518">
        <f>IF(F65+F66&gt;10%,0,H64+H65+H66)</f>
        <v>0</v>
      </c>
      <c r="I67" s="294">
        <f>IF(F65+F66&gt;10%,0,I64+I65+I66)</f>
        <v>0</v>
      </c>
      <c r="J67" s="522">
        <f>IF(F65+F66&gt;10%,0,J64+J65+J66)</f>
        <v>0</v>
      </c>
      <c r="K67" s="322"/>
      <c r="L67" s="322"/>
      <c r="M67" s="322"/>
      <c r="N67" s="322"/>
      <c r="O67" s="322"/>
      <c r="P67" s="624"/>
    </row>
    <row r="68" spans="1:16" ht="15.75" thickBot="1" x14ac:dyDescent="0.3">
      <c r="A68" s="574"/>
      <c r="B68" s="212"/>
      <c r="C68" s="311"/>
      <c r="D68" s="311"/>
      <c r="E68" s="229"/>
      <c r="F68" s="296"/>
      <c r="G68" s="212"/>
      <c r="H68" s="212"/>
      <c r="I68" s="212"/>
      <c r="J68" s="322"/>
      <c r="K68" s="322"/>
      <c r="L68" s="322"/>
      <c r="M68" s="322"/>
      <c r="N68" s="322"/>
      <c r="O68" s="322"/>
      <c r="P68" s="624"/>
    </row>
    <row r="69" spans="1:16" ht="78.75" x14ac:dyDescent="0.25">
      <c r="A69" s="574"/>
      <c r="B69" s="314" t="s">
        <v>40</v>
      </c>
      <c r="C69" s="318" t="s">
        <v>15</v>
      </c>
      <c r="D69" s="315" t="s">
        <v>12</v>
      </c>
      <c r="E69" s="316" t="s">
        <v>2</v>
      </c>
      <c r="F69" s="316" t="str">
        <f>F63</f>
        <v>Reduksjon i fratrekk</v>
      </c>
      <c r="G69" s="317" t="s">
        <v>97</v>
      </c>
      <c r="H69" s="317" t="s">
        <v>98</v>
      </c>
      <c r="I69" s="711" t="s">
        <v>163</v>
      </c>
      <c r="J69" s="223" t="s">
        <v>171</v>
      </c>
      <c r="K69" s="322"/>
      <c r="L69" s="322"/>
      <c r="M69" s="322"/>
      <c r="N69" s="322"/>
      <c r="O69" s="322"/>
      <c r="P69" s="624"/>
    </row>
    <row r="70" spans="1:16" ht="39.950000000000003" customHeight="1" x14ac:dyDescent="0.25">
      <c r="A70" s="574"/>
      <c r="B70" s="285"/>
      <c r="C70" s="286" t="s">
        <v>213</v>
      </c>
      <c r="D70" s="287">
        <v>0.15</v>
      </c>
      <c r="E70" s="289"/>
      <c r="F70" s="289"/>
      <c r="G70" s="167">
        <f>-$D$70*$E$59</f>
        <v>0</v>
      </c>
      <c r="H70" s="514">
        <f>-$D$70*$F$59</f>
        <v>0</v>
      </c>
      <c r="I70" s="167">
        <f>-$D$70*$G$59</f>
        <v>0</v>
      </c>
      <c r="J70" s="710">
        <f>-$D$70*$H$59</f>
        <v>0</v>
      </c>
      <c r="K70" s="322"/>
      <c r="L70" s="322"/>
      <c r="M70" s="322"/>
      <c r="N70" s="322"/>
      <c r="O70" s="322"/>
      <c r="P70" s="624"/>
    </row>
    <row r="71" spans="1:16" ht="39.950000000000003" customHeight="1" x14ac:dyDescent="0.25">
      <c r="A71" s="574"/>
      <c r="B71" s="285" t="s">
        <v>41</v>
      </c>
      <c r="C71" s="286" t="s">
        <v>59</v>
      </c>
      <c r="D71" s="287">
        <v>0.1</v>
      </c>
      <c r="E71" s="419" t="s">
        <v>17</v>
      </c>
      <c r="F71" s="213">
        <f>IF(E71="nei",0,D71)</f>
        <v>0</v>
      </c>
      <c r="G71" s="167">
        <f>E59*$F$71</f>
        <v>0</v>
      </c>
      <c r="H71" s="514">
        <f>F59*$F$71</f>
        <v>0</v>
      </c>
      <c r="I71" s="167">
        <f>G59*$F$71</f>
        <v>0</v>
      </c>
      <c r="J71" s="710">
        <f>H59*$F$71</f>
        <v>0</v>
      </c>
      <c r="K71" s="322"/>
      <c r="L71" s="322"/>
      <c r="M71" s="322"/>
      <c r="N71" s="322"/>
      <c r="O71" s="322"/>
      <c r="P71" s="624"/>
    </row>
    <row r="72" spans="1:16" ht="39.950000000000003" customHeight="1" x14ac:dyDescent="0.25">
      <c r="A72" s="574"/>
      <c r="B72" s="285" t="s">
        <v>42</v>
      </c>
      <c r="C72" s="286" t="s">
        <v>27</v>
      </c>
      <c r="D72" s="287">
        <v>0.05</v>
      </c>
      <c r="E72" s="419" t="s">
        <v>17</v>
      </c>
      <c r="F72" s="213">
        <f>IF(E72="nei",0,D72)</f>
        <v>0</v>
      </c>
      <c r="G72" s="167">
        <f>E59*$F$72</f>
        <v>0</v>
      </c>
      <c r="H72" s="514">
        <f>F59*$F$72</f>
        <v>0</v>
      </c>
      <c r="I72" s="167">
        <f>G59*$F$72</f>
        <v>0</v>
      </c>
      <c r="J72" s="710">
        <f>H59*$F$72</f>
        <v>0</v>
      </c>
      <c r="K72" s="322"/>
      <c r="L72" s="322"/>
      <c r="M72" s="322"/>
      <c r="N72" s="322"/>
      <c r="O72" s="322"/>
      <c r="P72" s="624"/>
    </row>
    <row r="73" spans="1:16" ht="100.5" customHeight="1" x14ac:dyDescent="0.25">
      <c r="A73" s="574"/>
      <c r="B73" s="285" t="s">
        <v>43</v>
      </c>
      <c r="C73" s="286" t="s">
        <v>340</v>
      </c>
      <c r="D73" s="287">
        <v>0.1</v>
      </c>
      <c r="E73" s="419" t="s">
        <v>116</v>
      </c>
      <c r="F73" s="213">
        <f>IF(E73="nei",0,D73)</f>
        <v>0.1</v>
      </c>
      <c r="G73" s="167">
        <f>E59*$F$73</f>
        <v>0</v>
      </c>
      <c r="H73" s="514">
        <f>F59*$F$73</f>
        <v>0</v>
      </c>
      <c r="I73" s="167">
        <f>G59*$F$73</f>
        <v>0</v>
      </c>
      <c r="J73" s="710">
        <f>H59*$F$73</f>
        <v>0</v>
      </c>
      <c r="K73" s="322"/>
      <c r="L73" s="322"/>
      <c r="M73" s="322"/>
      <c r="N73" s="322"/>
      <c r="O73" s="322"/>
      <c r="P73" s="624"/>
    </row>
    <row r="74" spans="1:16" ht="30.75" customHeight="1" thickBot="1" x14ac:dyDescent="0.3">
      <c r="A74" s="574"/>
      <c r="B74" s="1039" t="s">
        <v>10</v>
      </c>
      <c r="C74" s="1040"/>
      <c r="D74" s="297"/>
      <c r="E74" s="297"/>
      <c r="F74" s="298"/>
      <c r="G74" s="299">
        <f>IF(SUM(G70:G73)&gt;0,"0.00",SUM(G70:G73))</f>
        <v>0</v>
      </c>
      <c r="H74" s="299">
        <f>IF(SUM(H70:H73)&gt;0,"0.00",SUM(H70:H73))</f>
        <v>0</v>
      </c>
      <c r="I74" s="526">
        <f>IF(SUM(I70:I73)&gt;0,"0.00",SUM(I70:I73))</f>
        <v>0</v>
      </c>
      <c r="J74" s="714">
        <f>IF(SUM(J70:J73)&gt;0,"0.00",SUM(J70:J73))</f>
        <v>0</v>
      </c>
      <c r="K74" s="322"/>
      <c r="L74" s="322"/>
      <c r="M74" s="322"/>
      <c r="N74" s="322"/>
      <c r="O74" s="322"/>
      <c r="P74" s="624"/>
    </row>
    <row r="75" spans="1:16" ht="15.75" thickBot="1" x14ac:dyDescent="0.3">
      <c r="A75" s="574"/>
      <c r="B75" s="300"/>
      <c r="C75" s="311"/>
      <c r="D75" s="311"/>
      <c r="E75" s="311"/>
      <c r="F75" s="311"/>
      <c r="G75" s="301"/>
      <c r="H75" s="301"/>
      <c r="I75" s="301"/>
      <c r="J75" s="322"/>
      <c r="K75" s="322"/>
      <c r="L75" s="322"/>
      <c r="M75" s="322"/>
      <c r="N75" s="322"/>
      <c r="O75" s="322"/>
      <c r="P75" s="624"/>
    </row>
    <row r="76" spans="1:16" ht="60" x14ac:dyDescent="0.25">
      <c r="A76" s="574"/>
      <c r="B76" s="314" t="s">
        <v>44</v>
      </c>
      <c r="C76" s="318" t="s">
        <v>14</v>
      </c>
      <c r="D76" s="316" t="s">
        <v>12</v>
      </c>
      <c r="E76" s="316" t="s">
        <v>2</v>
      </c>
      <c r="F76" s="316" t="str">
        <f>F63</f>
        <v>Reduksjon i fratrekk</v>
      </c>
      <c r="G76" s="317" t="s">
        <v>97</v>
      </c>
      <c r="H76" s="317" t="s">
        <v>98</v>
      </c>
      <c r="I76" s="711" t="s">
        <v>163</v>
      </c>
      <c r="J76" s="223" t="s">
        <v>171</v>
      </c>
      <c r="K76" s="322"/>
      <c r="L76" s="322"/>
      <c r="M76" s="322"/>
      <c r="N76" s="322"/>
      <c r="O76" s="322"/>
      <c r="P76" s="624"/>
    </row>
    <row r="77" spans="1:16" ht="39.950000000000003" customHeight="1" x14ac:dyDescent="0.25">
      <c r="A77" s="574"/>
      <c r="B77" s="285"/>
      <c r="C77" s="286" t="s">
        <v>213</v>
      </c>
      <c r="D77" s="287">
        <v>0.1</v>
      </c>
      <c r="E77" s="287"/>
      <c r="F77" s="287"/>
      <c r="G77" s="167">
        <f>-$D$70*$E$59</f>
        <v>0</v>
      </c>
      <c r="H77" s="167">
        <f>-$D$70*$F$59</f>
        <v>0</v>
      </c>
      <c r="I77" s="167">
        <f>-$D$77*$G$59</f>
        <v>0</v>
      </c>
      <c r="J77" s="710">
        <f>-$D$77*$H$59</f>
        <v>0</v>
      </c>
      <c r="K77" s="322"/>
      <c r="L77" s="322"/>
      <c r="M77" s="322"/>
      <c r="N77" s="322"/>
      <c r="O77" s="322"/>
      <c r="P77" s="624"/>
    </row>
    <row r="78" spans="1:16" ht="39.950000000000003" customHeight="1" x14ac:dyDescent="0.25">
      <c r="A78" s="574"/>
      <c r="B78" s="285" t="s">
        <v>45</v>
      </c>
      <c r="C78" s="286" t="s">
        <v>401</v>
      </c>
      <c r="D78" s="287">
        <v>0.05</v>
      </c>
      <c r="E78" s="419" t="s">
        <v>17</v>
      </c>
      <c r="F78" s="213">
        <f>IF(E78="nei",0,D78)</f>
        <v>0</v>
      </c>
      <c r="G78" s="167">
        <f>E59*$F$78</f>
        <v>0</v>
      </c>
      <c r="H78" s="167">
        <f>F59*$F$78</f>
        <v>0</v>
      </c>
      <c r="I78" s="167">
        <f>G59*$F$78</f>
        <v>0</v>
      </c>
      <c r="J78" s="710">
        <f>H59*$F$78</f>
        <v>0</v>
      </c>
      <c r="K78" s="322"/>
      <c r="L78" s="322"/>
      <c r="M78" s="322"/>
      <c r="N78" s="322"/>
      <c r="O78" s="322"/>
      <c r="P78" s="624"/>
    </row>
    <row r="79" spans="1:16" ht="39.950000000000003" customHeight="1" x14ac:dyDescent="0.25">
      <c r="A79" s="574"/>
      <c r="B79" s="285" t="s">
        <v>46</v>
      </c>
      <c r="C79" s="286" t="s">
        <v>258</v>
      </c>
      <c r="D79" s="287">
        <v>0.05</v>
      </c>
      <c r="E79" s="419" t="s">
        <v>17</v>
      </c>
      <c r="F79" s="213">
        <f>IF(E79="nei",0,D79)</f>
        <v>0</v>
      </c>
      <c r="G79" s="167">
        <f>E59*$F$79</f>
        <v>0</v>
      </c>
      <c r="H79" s="167">
        <f>F59*$F$79</f>
        <v>0</v>
      </c>
      <c r="I79" s="167">
        <f>G59*$F$79</f>
        <v>0</v>
      </c>
      <c r="J79" s="710">
        <f>H59*$F$79</f>
        <v>0</v>
      </c>
      <c r="K79" s="322"/>
      <c r="L79" s="322"/>
      <c r="M79" s="322"/>
      <c r="N79" s="322"/>
      <c r="O79" s="322"/>
      <c r="P79" s="624"/>
    </row>
    <row r="80" spans="1:16" ht="63.75" customHeight="1" x14ac:dyDescent="0.25">
      <c r="A80" s="574"/>
      <c r="B80" s="285" t="s">
        <v>47</v>
      </c>
      <c r="C80" s="286" t="s">
        <v>361</v>
      </c>
      <c r="D80" s="287">
        <v>0.05</v>
      </c>
      <c r="E80" s="419" t="s">
        <v>17</v>
      </c>
      <c r="F80" s="213">
        <f>IF(E80="nei",0,D80)</f>
        <v>0</v>
      </c>
      <c r="G80" s="167">
        <f>E59*$F$80</f>
        <v>0</v>
      </c>
      <c r="H80" s="167">
        <f>F59*$F$80</f>
        <v>0</v>
      </c>
      <c r="I80" s="167">
        <f>G59*$F$80</f>
        <v>0</v>
      </c>
      <c r="J80" s="710">
        <f>H59*$F$80</f>
        <v>0</v>
      </c>
      <c r="K80" s="322"/>
      <c r="L80" s="322"/>
      <c r="M80" s="322"/>
      <c r="N80" s="322"/>
      <c r="O80" s="322"/>
      <c r="P80" s="624"/>
    </row>
    <row r="81" spans="1:16" ht="31.5" customHeight="1" thickBot="1" x14ac:dyDescent="0.3">
      <c r="A81" s="574"/>
      <c r="B81" s="1041" t="s">
        <v>11</v>
      </c>
      <c r="C81" s="1042"/>
      <c r="D81" s="302"/>
      <c r="E81" s="302"/>
      <c r="F81" s="303"/>
      <c r="G81" s="299">
        <f>IF(SUM(G77:G80)&gt;0,"0.00",SUM(G77:G80))</f>
        <v>0</v>
      </c>
      <c r="H81" s="299">
        <f>IF(SUM(H77:H80)&gt;0,"0.00",SUM(H77:H80))</f>
        <v>0</v>
      </c>
      <c r="I81" s="299">
        <f>IF(SUM(I77:I80)&gt;0,"0.00",SUM(I77:I80))</f>
        <v>0</v>
      </c>
      <c r="J81" s="714">
        <f>IF(SUM(J77:J80)&gt;0,"0.00",SUM(J77:J80))</f>
        <v>0</v>
      </c>
      <c r="K81" s="322"/>
      <c r="L81" s="322"/>
      <c r="M81" s="322"/>
      <c r="N81" s="322"/>
      <c r="O81" s="322"/>
      <c r="P81" s="624"/>
    </row>
    <row r="82" spans="1:16" ht="15.75" thickBot="1" x14ac:dyDescent="0.3">
      <c r="A82" s="574"/>
      <c r="B82" s="212"/>
      <c r="C82" s="212"/>
      <c r="D82" s="212"/>
      <c r="E82" s="212"/>
      <c r="F82" s="212"/>
      <c r="G82" s="212"/>
      <c r="H82" s="212"/>
      <c r="I82" s="212"/>
      <c r="J82" s="322"/>
      <c r="K82" s="322"/>
      <c r="L82" s="322"/>
      <c r="M82" s="322"/>
      <c r="N82" s="322"/>
      <c r="O82" s="322"/>
      <c r="P82" s="624"/>
    </row>
    <row r="83" spans="1:16" ht="36.75" customHeight="1" x14ac:dyDescent="0.25">
      <c r="A83" s="574"/>
      <c r="B83" s="1029" t="s">
        <v>360</v>
      </c>
      <c r="C83" s="1030"/>
      <c r="D83" s="1030"/>
      <c r="E83" s="1030"/>
      <c r="F83" s="1030"/>
      <c r="G83" s="317" t="s">
        <v>97</v>
      </c>
      <c r="H83" s="317" t="s">
        <v>98</v>
      </c>
      <c r="I83" s="711" t="s">
        <v>163</v>
      </c>
      <c r="J83" s="223" t="s">
        <v>171</v>
      </c>
      <c r="K83" s="322"/>
      <c r="L83" s="322"/>
      <c r="M83" s="322"/>
      <c r="N83" s="322"/>
      <c r="O83" s="322"/>
      <c r="P83" s="624"/>
    </row>
    <row r="84" spans="1:16" ht="39.950000000000003" customHeight="1" x14ac:dyDescent="0.25">
      <c r="A84" s="574"/>
      <c r="B84" s="1053" t="s">
        <v>343</v>
      </c>
      <c r="C84" s="1054"/>
      <c r="D84" s="1054"/>
      <c r="E84" s="1054"/>
      <c r="F84" s="1055"/>
      <c r="G84" s="453">
        <f>E59</f>
        <v>0</v>
      </c>
      <c r="H84" s="453">
        <f>F59</f>
        <v>0</v>
      </c>
      <c r="I84" s="453">
        <f>G59</f>
        <v>0</v>
      </c>
      <c r="J84" s="520">
        <f>H59</f>
        <v>0</v>
      </c>
      <c r="K84" s="322"/>
      <c r="L84" s="322"/>
      <c r="M84" s="322"/>
      <c r="N84" s="322"/>
      <c r="O84" s="322"/>
      <c r="P84" s="624"/>
    </row>
    <row r="85" spans="1:16" ht="39.950000000000003" customHeight="1" x14ac:dyDescent="0.25">
      <c r="A85" s="574"/>
      <c r="B85" s="1025" t="s">
        <v>344</v>
      </c>
      <c r="C85" s="1026"/>
      <c r="D85" s="1026"/>
      <c r="E85" s="1026"/>
      <c r="F85" s="1026"/>
      <c r="G85" s="453">
        <f>SUM(G67,G74,G81)</f>
        <v>0</v>
      </c>
      <c r="H85" s="453">
        <f>SUM(H67,H74,H81)</f>
        <v>0</v>
      </c>
      <c r="I85" s="453">
        <f>SUM(I67,I74,I81)</f>
        <v>0</v>
      </c>
      <c r="J85" s="713">
        <f>SUM(J67,J74,J81)</f>
        <v>0</v>
      </c>
      <c r="K85" s="322"/>
      <c r="L85" s="322"/>
      <c r="M85" s="322"/>
      <c r="N85" s="322"/>
      <c r="O85" s="322"/>
      <c r="P85" s="624"/>
    </row>
    <row r="86" spans="1:16" ht="46.5" customHeight="1" thickBot="1" x14ac:dyDescent="0.3">
      <c r="A86" s="574"/>
      <c r="B86" s="1027" t="s">
        <v>398</v>
      </c>
      <c r="C86" s="1028"/>
      <c r="D86" s="1028"/>
      <c r="E86" s="1028"/>
      <c r="F86" s="1028"/>
      <c r="G86" s="149">
        <f>G84+G85</f>
        <v>0</v>
      </c>
      <c r="H86" s="149">
        <f t="shared" ref="H86:I86" si="1">H84+H85</f>
        <v>0</v>
      </c>
      <c r="I86" s="149">
        <f t="shared" si="1"/>
        <v>0</v>
      </c>
      <c r="J86" s="521">
        <f t="shared" ref="J86" si="2">J84+J85</f>
        <v>0</v>
      </c>
      <c r="K86" s="322"/>
      <c r="L86" s="322"/>
      <c r="M86" s="322"/>
      <c r="N86" s="322"/>
      <c r="O86" s="322"/>
      <c r="P86" s="624"/>
    </row>
    <row r="87" spans="1:16" x14ac:dyDescent="0.25">
      <c r="A87" s="574"/>
      <c r="B87" s="322"/>
      <c r="C87" s="322"/>
      <c r="D87" s="322"/>
      <c r="E87" s="322"/>
      <c r="F87" s="322"/>
      <c r="G87" s="322"/>
      <c r="H87" s="322"/>
      <c r="I87" s="322"/>
      <c r="J87" s="322"/>
      <c r="K87" s="322"/>
      <c r="L87" s="322"/>
      <c r="M87" s="322"/>
      <c r="N87" s="322"/>
      <c r="O87" s="322"/>
      <c r="P87" s="624"/>
    </row>
    <row r="88" spans="1:16" x14ac:dyDescent="0.25">
      <c r="A88" s="574"/>
      <c r="B88" s="322"/>
      <c r="C88" s="322"/>
      <c r="D88" s="322"/>
      <c r="E88" s="322"/>
      <c r="F88" s="322"/>
      <c r="G88" s="322"/>
      <c r="H88" s="322"/>
      <c r="I88" s="322"/>
      <c r="J88" s="322"/>
      <c r="K88" s="322"/>
      <c r="L88" s="322"/>
      <c r="M88" s="322"/>
      <c r="N88" s="322"/>
      <c r="O88" s="322"/>
      <c r="P88" s="624"/>
    </row>
    <row r="89" spans="1:16" x14ac:dyDescent="0.25">
      <c r="A89" s="574"/>
      <c r="B89" s="322"/>
      <c r="C89" s="322"/>
      <c r="D89" s="322"/>
      <c r="E89" s="322"/>
      <c r="F89" s="322"/>
      <c r="G89" s="322"/>
      <c r="H89" s="322"/>
      <c r="I89" s="322"/>
      <c r="J89" s="322"/>
      <c r="K89" s="322"/>
      <c r="L89" s="322"/>
      <c r="M89" s="322"/>
      <c r="N89" s="322"/>
      <c r="O89" s="322"/>
      <c r="P89" s="624"/>
    </row>
    <row r="90" spans="1:16" x14ac:dyDescent="0.25">
      <c r="A90" s="633"/>
      <c r="B90" s="634"/>
      <c r="C90" s="634"/>
      <c r="D90" s="634"/>
      <c r="E90" s="634"/>
      <c r="F90" s="634"/>
      <c r="G90" s="634"/>
      <c r="H90" s="634"/>
      <c r="I90" s="634"/>
      <c r="J90" s="634"/>
      <c r="K90" s="634"/>
      <c r="L90" s="634"/>
      <c r="M90" s="634"/>
      <c r="N90" s="634"/>
      <c r="O90" s="634"/>
      <c r="P90" s="635"/>
    </row>
  </sheetData>
  <sheetProtection algorithmName="SHA-512" hashValue="yVvHjFHvLexvMZ3kq/5kss62c1311rSj1DuHtmz6MupF6820GfXVf8CIXt2a1lbwCRYfw41ijwl7TXWN7HUqyQ==" saltValue="SY0dHO9HXfdHt+hYPhlrsw==" spinCount="100000" sheet="1" selectLockedCells="1"/>
  <mergeCells count="72">
    <mergeCell ref="C55:H55"/>
    <mergeCell ref="C11:I11"/>
    <mergeCell ref="C5:I5"/>
    <mergeCell ref="C12:G12"/>
    <mergeCell ref="C45:G45"/>
    <mergeCell ref="C24:K24"/>
    <mergeCell ref="C18:K18"/>
    <mergeCell ref="C19:C22"/>
    <mergeCell ref="D19:E20"/>
    <mergeCell ref="F19:G20"/>
    <mergeCell ref="H19:I19"/>
    <mergeCell ref="J19:K19"/>
    <mergeCell ref="H20:I20"/>
    <mergeCell ref="J20:K20"/>
    <mergeCell ref="D21:E21"/>
    <mergeCell ref="F21:G21"/>
    <mergeCell ref="C2:D2"/>
    <mergeCell ref="C3:D3"/>
    <mergeCell ref="C7:E8"/>
    <mergeCell ref="C9:E9"/>
    <mergeCell ref="C10:D10"/>
    <mergeCell ref="E2:I2"/>
    <mergeCell ref="E3:I3"/>
    <mergeCell ref="J21:K21"/>
    <mergeCell ref="J26:O26"/>
    <mergeCell ref="J27:O27"/>
    <mergeCell ref="J28:K28"/>
    <mergeCell ref="L28:M28"/>
    <mergeCell ref="N28:O28"/>
    <mergeCell ref="B85:F85"/>
    <mergeCell ref="B86:F86"/>
    <mergeCell ref="C56:D56"/>
    <mergeCell ref="B67:C67"/>
    <mergeCell ref="B74:C74"/>
    <mergeCell ref="B81:C81"/>
    <mergeCell ref="B84:F84"/>
    <mergeCell ref="B83:F83"/>
    <mergeCell ref="B61:J61"/>
    <mergeCell ref="C57:D57"/>
    <mergeCell ref="C59:D59"/>
    <mergeCell ref="C40:E40"/>
    <mergeCell ref="F40:G40"/>
    <mergeCell ref="C41:E41"/>
    <mergeCell ref="F41:G41"/>
    <mergeCell ref="C42:E42"/>
    <mergeCell ref="F42:G42"/>
    <mergeCell ref="C43:E43"/>
    <mergeCell ref="F43:G43"/>
    <mergeCell ref="C46:D46"/>
    <mergeCell ref="E46:G46"/>
    <mergeCell ref="F51:G51"/>
    <mergeCell ref="C13:G13"/>
    <mergeCell ref="C14:G14"/>
    <mergeCell ref="C16:G16"/>
    <mergeCell ref="C15:G15"/>
    <mergeCell ref="C35:I35"/>
    <mergeCell ref="G34:I34"/>
    <mergeCell ref="C26:C28"/>
    <mergeCell ref="D26:D28"/>
    <mergeCell ref="E26:F27"/>
    <mergeCell ref="G26:I28"/>
    <mergeCell ref="G29:I29"/>
    <mergeCell ref="G30:I30"/>
    <mergeCell ref="G31:I31"/>
    <mergeCell ref="G32:I32"/>
    <mergeCell ref="G33:I33"/>
    <mergeCell ref="H21:I21"/>
    <mergeCell ref="C37:G37"/>
    <mergeCell ref="C38:E38"/>
    <mergeCell ref="F38:G38"/>
    <mergeCell ref="C39:E39"/>
    <mergeCell ref="F39:G39"/>
  </mergeCells>
  <conditionalFormatting sqref="F65:F66 F71:F73 F78:F80">
    <cfRule type="cellIs" dxfId="3" priority="1" operator="greaterThan">
      <formula>0</formula>
    </cfRule>
  </conditionalFormatting>
  <printOptions horizontalCentered="1" verticalCentered="1"/>
  <pageMargins left="0.78740157480314965" right="0.78740157480314965" top="1.1811023622047245" bottom="0.98425196850393704" header="0.51181102362204722" footer="0.51181102362204722"/>
  <pageSetup paperSize="8" scale="80" orientation="portrait" r:id="rId1"/>
  <headerFooter>
    <oddHeader>&amp;L&amp;"Times New Roman,Halvfet"&amp;16Microbial barrier analysis (MBA)
Operational tool&amp;C&amp;"Times New Roman,Halvfet"&amp;16&amp;A&amp;R&amp;"Times New Roman,Halvfet"&amp;16Page &amp;P of &amp;N
&amp;D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key!$A$2:$A$3</xm:f>
          </x14:formula1>
          <xm:sqref>E65:E66 E78:E80 E71:E73</xm:sqref>
        </x14:dataValidation>
        <x14:dataValidation type="list" allowBlank="1" showInputMessage="1" showErrorMessage="1">
          <x14:formula1>
            <xm:f>key!$A$2</xm:f>
          </x14:formula1>
          <xm:sqref>D29:D34 J29:J34 L29:L34 N29:N34</xm:sqref>
        </x14:dataValidation>
        <x14:dataValidation type="list" allowBlank="1" showInputMessage="1" showErrorMessage="1">
          <x14:formula1>
            <xm:f>key!$A$33:$A$35</xm:f>
          </x14:formula1>
          <xm:sqref>C9:E9</xm:sqref>
        </x14:dataValidation>
        <x14:dataValidation type="list" allowBlank="1" showInputMessage="1" showErrorMessage="1">
          <x14:formula1>
            <xm:f>key!$A$45:$A$47</xm:f>
          </x14:formula1>
          <xm:sqref>E46:G46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zoomScaleNormal="100" workbookViewId="0">
      <selection activeCell="C9" sqref="C9:E9"/>
    </sheetView>
  </sheetViews>
  <sheetFormatPr baseColWidth="10" defaultColWidth="9.140625" defaultRowHeight="15" x14ac:dyDescent="0.25"/>
  <cols>
    <col min="1" max="1" width="3.140625" customWidth="1"/>
    <col min="2" max="2" width="4.28515625" customWidth="1"/>
    <col min="3" max="3" width="32.5703125" customWidth="1"/>
    <col min="4" max="4" width="14.28515625" customWidth="1"/>
    <col min="5" max="5" width="13" customWidth="1"/>
    <col min="6" max="7" width="12.140625" customWidth="1"/>
    <col min="8" max="8" width="11.7109375" customWidth="1"/>
    <col min="9" max="9" width="13.140625" customWidth="1"/>
    <col min="10" max="10" width="12.5703125" customWidth="1"/>
    <col min="11" max="11" width="11.85546875" customWidth="1"/>
    <col min="12" max="12" width="12.85546875" customWidth="1"/>
    <col min="13" max="13" width="12.7109375" customWidth="1"/>
    <col min="14" max="14" width="12.28515625" customWidth="1"/>
    <col min="15" max="15" width="11.5703125" customWidth="1"/>
  </cols>
  <sheetData>
    <row r="1" spans="1:16" ht="15.75" thickBot="1" x14ac:dyDescent="0.3">
      <c r="A1" s="683"/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5"/>
    </row>
    <row r="2" spans="1:16" ht="24.75" customHeight="1" x14ac:dyDescent="0.25">
      <c r="A2" s="686"/>
      <c r="B2" s="322"/>
      <c r="C2" s="798" t="str">
        <f>Innsjø!B2</f>
        <v>Vannverkseier:</v>
      </c>
      <c r="D2" s="800"/>
      <c r="E2" s="1008" t="str">
        <f>Innsjø!D2</f>
        <v>BB</v>
      </c>
      <c r="F2" s="1008"/>
      <c r="G2" s="1008"/>
      <c r="H2" s="1008"/>
      <c r="I2" s="1009"/>
      <c r="J2" s="323"/>
      <c r="K2" s="323"/>
      <c r="L2" s="323"/>
      <c r="M2" s="323"/>
      <c r="N2" s="323"/>
      <c r="O2" s="323"/>
      <c r="P2" s="624"/>
    </row>
    <row r="3" spans="1:16" ht="27.75" customHeight="1" thickBot="1" x14ac:dyDescent="0.3">
      <c r="A3" s="686"/>
      <c r="B3" s="322"/>
      <c r="C3" s="1017" t="str">
        <f>Innsjø!B3</f>
        <v>Vannverkets navn:</v>
      </c>
      <c r="D3" s="1018"/>
      <c r="E3" s="1010" t="str">
        <f>Innsjø!D3</f>
        <v>VV</v>
      </c>
      <c r="F3" s="1010"/>
      <c r="G3" s="1010"/>
      <c r="H3" s="1010"/>
      <c r="I3" s="1011"/>
      <c r="J3" s="323"/>
      <c r="K3" s="323"/>
      <c r="L3" s="323"/>
      <c r="M3" s="323"/>
      <c r="N3" s="323"/>
      <c r="O3" s="323"/>
      <c r="P3" s="624"/>
    </row>
    <row r="4" spans="1:16" ht="21" thickBot="1" x14ac:dyDescent="0.35">
      <c r="A4" s="686"/>
      <c r="B4" s="322"/>
      <c r="C4" s="330"/>
      <c r="D4" s="330"/>
      <c r="E4" s="320"/>
      <c r="F4" s="320"/>
      <c r="G4" s="320"/>
      <c r="H4" s="320"/>
      <c r="I4" s="323"/>
      <c r="J4" s="323"/>
      <c r="K4" s="323"/>
      <c r="L4" s="323"/>
      <c r="M4" s="323"/>
      <c r="N4" s="323"/>
      <c r="O4" s="323"/>
      <c r="P4" s="624"/>
    </row>
    <row r="5" spans="1:16" ht="36" customHeight="1" thickBot="1" x14ac:dyDescent="0.3">
      <c r="A5" s="686"/>
      <c r="B5" s="322"/>
      <c r="C5" s="1121" t="s">
        <v>368</v>
      </c>
      <c r="D5" s="1122"/>
      <c r="E5" s="1122"/>
      <c r="F5" s="1122"/>
      <c r="G5" s="1122"/>
      <c r="H5" s="1122"/>
      <c r="I5" s="1123"/>
      <c r="J5" s="323"/>
      <c r="K5" s="323"/>
      <c r="L5" s="323"/>
      <c r="M5" s="323"/>
      <c r="N5" s="323"/>
      <c r="O5" s="323"/>
      <c r="P5" s="624"/>
    </row>
    <row r="6" spans="1:16" ht="21" thickBot="1" x14ac:dyDescent="0.35">
      <c r="A6" s="686"/>
      <c r="B6" s="322"/>
      <c r="C6" s="330"/>
      <c r="D6" s="330"/>
      <c r="E6" s="320"/>
      <c r="F6" s="320"/>
      <c r="G6" s="320"/>
      <c r="H6" s="320"/>
      <c r="I6" s="323"/>
      <c r="J6" s="323"/>
      <c r="K6" s="323"/>
      <c r="L6" s="323"/>
      <c r="M6" s="323"/>
      <c r="N6" s="323"/>
      <c r="O6" s="323"/>
      <c r="P6" s="624"/>
    </row>
    <row r="7" spans="1:16" ht="53.25" customHeight="1" x14ac:dyDescent="0.25">
      <c r="A7" s="686"/>
      <c r="B7" s="322"/>
      <c r="C7" s="1019" t="s">
        <v>348</v>
      </c>
      <c r="D7" s="1020"/>
      <c r="E7" s="1021"/>
      <c r="F7" s="559" t="s">
        <v>97</v>
      </c>
      <c r="G7" s="559" t="s">
        <v>98</v>
      </c>
      <c r="H7" s="559" t="s">
        <v>163</v>
      </c>
      <c r="I7" s="560" t="s">
        <v>171</v>
      </c>
      <c r="J7" s="271"/>
      <c r="K7" s="271"/>
      <c r="L7" s="212"/>
      <c r="M7" s="212"/>
      <c r="N7" s="212"/>
      <c r="O7" s="212"/>
      <c r="P7" s="624"/>
    </row>
    <row r="8" spans="1:16" x14ac:dyDescent="0.25">
      <c r="A8" s="686"/>
      <c r="B8" s="322"/>
      <c r="C8" s="1022"/>
      <c r="D8" s="1023"/>
      <c r="E8" s="1024"/>
      <c r="F8" s="236" t="s">
        <v>169</v>
      </c>
      <c r="G8" s="236" t="s">
        <v>169</v>
      </c>
      <c r="H8" s="236" t="s">
        <v>170</v>
      </c>
      <c r="I8" s="148" t="s">
        <v>170</v>
      </c>
      <c r="J8" s="254"/>
      <c r="K8" s="254"/>
      <c r="L8" s="212"/>
      <c r="M8" s="212"/>
      <c r="N8" s="212"/>
      <c r="O8" s="212"/>
      <c r="P8" s="624"/>
    </row>
    <row r="9" spans="1:16" ht="30.75" customHeight="1" thickBot="1" x14ac:dyDescent="0.3">
      <c r="A9" s="686"/>
      <c r="B9" s="322"/>
      <c r="C9" s="1061" t="s">
        <v>369</v>
      </c>
      <c r="D9" s="1062"/>
      <c r="E9" s="1063"/>
      <c r="F9" s="149">
        <f>IF($C$9="","",IF($C$9="Velg kategori","",VLOOKUP($C$9,key!$A$40:$B$42,2,FALSE)))</f>
        <v>0</v>
      </c>
      <c r="G9" s="149">
        <f>IF($C$9="","",IF($C$9="Velg kategori","",VLOOKUP($C$9,key!$C$40:$D$42,2,FALSE)))</f>
        <v>0</v>
      </c>
      <c r="H9" s="149">
        <f>IF($C$9="","",IF($C$9="Velg kategori","",VLOOKUP($C$9,key!$E$40:$F$42,2,FALSE)))</f>
        <v>0</v>
      </c>
      <c r="I9" s="150">
        <f>IF($C$9="","",IF($C$9="Velg kategori","",VLOOKUP($C$9,key!$G$40:$H$42,2,FALSE)))</f>
        <v>0</v>
      </c>
      <c r="J9" s="254"/>
      <c r="K9" s="254"/>
      <c r="L9" s="212"/>
      <c r="M9" s="212"/>
      <c r="N9" s="212"/>
      <c r="O9" s="212"/>
      <c r="P9" s="624"/>
    </row>
    <row r="10" spans="1:16" ht="16.5" thickBot="1" x14ac:dyDescent="0.3">
      <c r="A10" s="686"/>
      <c r="B10" s="322"/>
      <c r="C10" s="1016"/>
      <c r="D10" s="1016"/>
      <c r="E10" s="320"/>
      <c r="F10" s="320"/>
      <c r="G10" s="320"/>
      <c r="H10" s="320"/>
      <c r="I10" s="323"/>
      <c r="J10" s="323"/>
      <c r="K10" s="323"/>
      <c r="L10" s="323"/>
      <c r="M10" s="323"/>
      <c r="N10" s="323"/>
      <c r="O10" s="323"/>
      <c r="P10" s="624"/>
    </row>
    <row r="11" spans="1:16" ht="47.25" customHeight="1" x14ac:dyDescent="0.25">
      <c r="A11" s="686"/>
      <c r="B11" s="322"/>
      <c r="C11" s="1019" t="s">
        <v>189</v>
      </c>
      <c r="D11" s="1020"/>
      <c r="E11" s="1020"/>
      <c r="F11" s="1020"/>
      <c r="G11" s="1020"/>
      <c r="H11" s="1020"/>
      <c r="I11" s="1120"/>
      <c r="J11" s="212"/>
      <c r="K11" s="212"/>
      <c r="L11" s="212"/>
      <c r="M11" s="212"/>
      <c r="N11" s="212"/>
      <c r="O11" s="212"/>
      <c r="P11" s="624"/>
    </row>
    <row r="12" spans="1:16" ht="30" customHeight="1" x14ac:dyDescent="0.25">
      <c r="A12" s="686"/>
      <c r="B12" s="322"/>
      <c r="C12" s="1108" t="s">
        <v>385</v>
      </c>
      <c r="D12" s="1124"/>
      <c r="E12" s="1124"/>
      <c r="F12" s="1124"/>
      <c r="G12" s="1109"/>
      <c r="H12" s="457"/>
      <c r="I12" s="454"/>
      <c r="J12" s="212"/>
      <c r="K12" s="212"/>
      <c r="L12" s="212"/>
      <c r="M12" s="212"/>
      <c r="N12" s="212"/>
      <c r="O12" s="212"/>
      <c r="P12" s="624"/>
    </row>
    <row r="13" spans="1:16" ht="30" customHeight="1" x14ac:dyDescent="0.25">
      <c r="A13" s="686"/>
      <c r="B13" s="322"/>
      <c r="C13" s="1047" t="s">
        <v>370</v>
      </c>
      <c r="D13" s="1048"/>
      <c r="E13" s="1048"/>
      <c r="F13" s="1048"/>
      <c r="G13" s="1048"/>
      <c r="H13" s="727"/>
      <c r="I13" s="555" t="s">
        <v>143</v>
      </c>
      <c r="J13" s="212"/>
      <c r="K13" s="212"/>
      <c r="L13" s="212"/>
      <c r="M13" s="212"/>
      <c r="N13" s="212"/>
      <c r="O13" s="212"/>
      <c r="P13" s="624"/>
    </row>
    <row r="14" spans="1:16" ht="30.75" customHeight="1" x14ac:dyDescent="0.25">
      <c r="A14" s="686"/>
      <c r="B14" s="322"/>
      <c r="C14" s="1047" t="s">
        <v>371</v>
      </c>
      <c r="D14" s="1048"/>
      <c r="E14" s="1048"/>
      <c r="F14" s="1048"/>
      <c r="G14" s="1048"/>
      <c r="H14" s="727"/>
      <c r="I14" s="445" t="s">
        <v>393</v>
      </c>
      <c r="J14" s="212"/>
      <c r="K14" s="212"/>
      <c r="L14" s="212"/>
      <c r="M14" s="212"/>
      <c r="N14" s="212"/>
      <c r="O14" s="212"/>
      <c r="P14" s="624"/>
    </row>
    <row r="15" spans="1:16" ht="31.5" customHeight="1" x14ac:dyDescent="0.25">
      <c r="A15" s="686"/>
      <c r="B15" s="322"/>
      <c r="C15" s="1108" t="s">
        <v>386</v>
      </c>
      <c r="D15" s="1124"/>
      <c r="E15" s="1124"/>
      <c r="F15" s="1124"/>
      <c r="G15" s="1109"/>
      <c r="H15" s="727"/>
      <c r="I15" s="445"/>
      <c r="J15" s="212"/>
      <c r="K15" s="212"/>
      <c r="L15" s="212"/>
      <c r="M15" s="212"/>
      <c r="N15" s="212"/>
      <c r="O15" s="212"/>
      <c r="P15" s="624"/>
    </row>
    <row r="16" spans="1:16" ht="28.5" customHeight="1" x14ac:dyDescent="0.25">
      <c r="A16" s="686"/>
      <c r="B16" s="322"/>
      <c r="C16" s="1064" t="s">
        <v>379</v>
      </c>
      <c r="D16" s="1065"/>
      <c r="E16" s="1065"/>
      <c r="F16" s="1065"/>
      <c r="G16" s="1065"/>
      <c r="H16" s="727"/>
      <c r="I16" s="445" t="s">
        <v>393</v>
      </c>
      <c r="J16" s="212"/>
      <c r="K16" s="212"/>
      <c r="L16" s="212"/>
      <c r="M16" s="212"/>
      <c r="N16" s="212"/>
      <c r="O16" s="212"/>
      <c r="P16" s="624"/>
    </row>
    <row r="17" spans="1:16" ht="27" customHeight="1" x14ac:dyDescent="0.25">
      <c r="A17" s="686"/>
      <c r="B17" s="322"/>
      <c r="C17" s="1127" t="s">
        <v>459</v>
      </c>
      <c r="D17" s="1128"/>
      <c r="E17" s="1128"/>
      <c r="F17" s="1128"/>
      <c r="G17" s="1129"/>
      <c r="H17" s="728"/>
      <c r="I17" s="445" t="s">
        <v>393</v>
      </c>
      <c r="J17" s="212"/>
      <c r="K17" s="212"/>
      <c r="L17" s="212"/>
      <c r="M17" s="212"/>
      <c r="N17" s="212"/>
      <c r="O17" s="212"/>
      <c r="P17" s="624"/>
    </row>
    <row r="18" spans="1:16" ht="25.5" customHeight="1" thickBot="1" x14ac:dyDescent="0.3">
      <c r="A18" s="686"/>
      <c r="B18" s="322"/>
      <c r="C18" s="1066" t="s">
        <v>387</v>
      </c>
      <c r="D18" s="1067"/>
      <c r="E18" s="1067"/>
      <c r="F18" s="1067"/>
      <c r="G18" s="1067"/>
      <c r="H18" s="458"/>
      <c r="I18" s="455" t="s">
        <v>142</v>
      </c>
      <c r="J18" s="212"/>
      <c r="K18" s="212"/>
      <c r="L18" s="212"/>
      <c r="M18" s="212"/>
      <c r="N18" s="212"/>
      <c r="O18" s="212"/>
      <c r="P18" s="624"/>
    </row>
    <row r="19" spans="1:16" ht="25.5" customHeight="1" x14ac:dyDescent="0.35">
      <c r="A19" s="686"/>
      <c r="B19" s="322"/>
      <c r="C19" s="687" t="s">
        <v>394</v>
      </c>
      <c r="D19" s="688"/>
      <c r="E19" s="138"/>
      <c r="F19" s="477"/>
      <c r="G19" s="477"/>
      <c r="H19" s="323"/>
      <c r="I19" s="310"/>
      <c r="J19" s="212"/>
      <c r="K19" s="212"/>
      <c r="L19" s="212"/>
      <c r="M19" s="212"/>
      <c r="N19" s="212"/>
      <c r="O19" s="212"/>
      <c r="P19" s="624"/>
    </row>
    <row r="20" spans="1:16" ht="24" customHeight="1" x14ac:dyDescent="0.25">
      <c r="A20" s="686"/>
      <c r="B20" s="322"/>
      <c r="C20" s="1125" t="s">
        <v>184</v>
      </c>
      <c r="D20" s="1125"/>
      <c r="E20" s="495" t="s">
        <v>372</v>
      </c>
      <c r="F20" s="477"/>
      <c r="G20" s="477"/>
      <c r="H20" s="323"/>
      <c r="I20" s="310"/>
      <c r="J20" s="212"/>
      <c r="K20" s="212"/>
      <c r="L20" s="212"/>
      <c r="M20" s="212"/>
      <c r="N20" s="212"/>
      <c r="O20" s="212"/>
      <c r="P20" s="624"/>
    </row>
    <row r="21" spans="1:16" ht="22.5" customHeight="1" x14ac:dyDescent="0.25">
      <c r="A21" s="686"/>
      <c r="B21" s="322"/>
      <c r="C21" s="1126" t="s">
        <v>185</v>
      </c>
      <c r="D21" s="1126"/>
      <c r="E21" s="496">
        <v>0.9</v>
      </c>
      <c r="F21" s="477"/>
      <c r="G21" s="477"/>
      <c r="H21" s="323"/>
      <c r="I21" s="310"/>
      <c r="J21" s="212"/>
      <c r="K21" s="212"/>
      <c r="L21" s="212"/>
      <c r="M21" s="212"/>
      <c r="N21" s="212"/>
      <c r="O21" s="212"/>
      <c r="P21" s="624"/>
    </row>
    <row r="22" spans="1:16" ht="24.75" customHeight="1" x14ac:dyDescent="0.25">
      <c r="A22" s="686"/>
      <c r="B22" s="322"/>
      <c r="C22" s="1126" t="s">
        <v>186</v>
      </c>
      <c r="D22" s="1126"/>
      <c r="E22" s="479">
        <v>0.75</v>
      </c>
      <c r="F22" s="477"/>
      <c r="G22" s="477"/>
      <c r="H22" s="323"/>
      <c r="I22" s="310"/>
      <c r="J22" s="212"/>
      <c r="K22" s="212"/>
      <c r="L22" s="212"/>
      <c r="M22" s="212"/>
      <c r="N22" s="212"/>
      <c r="O22" s="212"/>
      <c r="P22" s="624"/>
    </row>
    <row r="23" spans="1:16" ht="24" customHeight="1" x14ac:dyDescent="0.25">
      <c r="A23" s="686"/>
      <c r="B23" s="322"/>
      <c r="C23" s="1126" t="s">
        <v>187</v>
      </c>
      <c r="D23" s="1126"/>
      <c r="E23" s="479">
        <v>0.99</v>
      </c>
      <c r="F23" s="477"/>
      <c r="G23" s="477"/>
      <c r="H23" s="478"/>
      <c r="I23" s="310"/>
      <c r="J23" s="212"/>
      <c r="K23" s="212"/>
      <c r="L23" s="212"/>
      <c r="M23" s="212"/>
      <c r="N23" s="212"/>
      <c r="O23" s="212"/>
      <c r="P23" s="624"/>
    </row>
    <row r="24" spans="1:16" x14ac:dyDescent="0.25">
      <c r="A24" s="686"/>
      <c r="B24" s="32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624"/>
    </row>
    <row r="25" spans="1:16" ht="41.25" customHeight="1" thickBot="1" x14ac:dyDescent="0.3">
      <c r="A25" s="686"/>
      <c r="B25" s="322"/>
      <c r="C25" s="984" t="s">
        <v>251</v>
      </c>
      <c r="D25" s="984"/>
      <c r="E25" s="984"/>
      <c r="F25" s="984"/>
      <c r="G25" s="984"/>
      <c r="H25" s="984"/>
      <c r="I25" s="984"/>
      <c r="J25" s="984"/>
      <c r="K25" s="984"/>
      <c r="L25" s="212"/>
      <c r="M25" s="212"/>
      <c r="N25" s="212"/>
      <c r="O25" s="212"/>
      <c r="P25" s="624"/>
    </row>
    <row r="26" spans="1:16" x14ac:dyDescent="0.25">
      <c r="A26" s="686"/>
      <c r="B26" s="322"/>
      <c r="C26" s="1138"/>
      <c r="D26" s="1141" t="s">
        <v>117</v>
      </c>
      <c r="E26" s="1142"/>
      <c r="F26" s="1142" t="s">
        <v>67</v>
      </c>
      <c r="G26" s="1145"/>
      <c r="H26" s="1147" t="s">
        <v>119</v>
      </c>
      <c r="I26" s="1147"/>
      <c r="J26" s="1147" t="s">
        <v>119</v>
      </c>
      <c r="K26" s="1148"/>
      <c r="L26" s="212"/>
      <c r="M26" s="212"/>
      <c r="N26" s="212"/>
      <c r="O26" s="212"/>
      <c r="P26" s="624"/>
    </row>
    <row r="27" spans="1:16" x14ac:dyDescent="0.25">
      <c r="A27" s="686"/>
      <c r="B27" s="322"/>
      <c r="C27" s="1139"/>
      <c r="D27" s="1143"/>
      <c r="E27" s="1144"/>
      <c r="F27" s="1144"/>
      <c r="G27" s="1146"/>
      <c r="H27" s="1133" t="s">
        <v>374</v>
      </c>
      <c r="I27" s="1133"/>
      <c r="J27" s="1133" t="s">
        <v>375</v>
      </c>
      <c r="K27" s="1134"/>
      <c r="L27" s="212"/>
      <c r="M27" s="212"/>
      <c r="N27" s="212"/>
      <c r="O27" s="212"/>
      <c r="P27" s="624"/>
    </row>
    <row r="28" spans="1:16" x14ac:dyDescent="0.25">
      <c r="A28" s="686"/>
      <c r="B28" s="322"/>
      <c r="C28" s="1139"/>
      <c r="D28" s="1135" t="s">
        <v>118</v>
      </c>
      <c r="E28" s="1136"/>
      <c r="F28" s="1136" t="s">
        <v>118</v>
      </c>
      <c r="G28" s="1136"/>
      <c r="H28" s="1136" t="s">
        <v>120</v>
      </c>
      <c r="I28" s="1136"/>
      <c r="J28" s="1136" t="s">
        <v>120</v>
      </c>
      <c r="K28" s="1137"/>
      <c r="L28" s="212"/>
      <c r="M28" s="212"/>
      <c r="N28" s="212"/>
      <c r="O28" s="212"/>
      <c r="P28" s="624"/>
    </row>
    <row r="29" spans="1:16" ht="15.75" thickBot="1" x14ac:dyDescent="0.3">
      <c r="A29" s="686"/>
      <c r="B29" s="322"/>
      <c r="C29" s="1140"/>
      <c r="D29" s="480" t="s">
        <v>376</v>
      </c>
      <c r="E29" s="481" t="s">
        <v>377</v>
      </c>
      <c r="F29" s="481" t="s">
        <v>376</v>
      </c>
      <c r="G29" s="481" t="s">
        <v>378</v>
      </c>
      <c r="H29" s="481" t="s">
        <v>376</v>
      </c>
      <c r="I29" s="481" t="s">
        <v>378</v>
      </c>
      <c r="J29" s="481" t="s">
        <v>376</v>
      </c>
      <c r="K29" s="482" t="s">
        <v>378</v>
      </c>
      <c r="L29" s="212"/>
      <c r="M29" s="212"/>
      <c r="N29" s="212"/>
      <c r="O29" s="212"/>
      <c r="P29" s="624"/>
    </row>
    <row r="30" spans="1:16" ht="23.25" customHeight="1" thickBot="1" x14ac:dyDescent="0.3">
      <c r="A30" s="686"/>
      <c r="B30" s="322"/>
      <c r="C30" s="483" t="s">
        <v>373</v>
      </c>
      <c r="D30" s="484">
        <v>0.5</v>
      </c>
      <c r="E30" s="485">
        <v>0.75</v>
      </c>
      <c r="F30" s="486">
        <v>1</v>
      </c>
      <c r="G30" s="486">
        <v>1.4</v>
      </c>
      <c r="H30" s="487">
        <v>1.5</v>
      </c>
      <c r="I30" s="487">
        <v>2</v>
      </c>
      <c r="J30" s="487">
        <v>30</v>
      </c>
      <c r="K30" s="488">
        <v>45</v>
      </c>
      <c r="L30" s="212"/>
      <c r="M30" s="212"/>
      <c r="N30" s="212"/>
      <c r="O30" s="212"/>
      <c r="P30" s="624"/>
    </row>
    <row r="31" spans="1:16" x14ac:dyDescent="0.25">
      <c r="A31" s="686"/>
      <c r="B31" s="322"/>
      <c r="C31" s="996"/>
      <c r="D31" s="996"/>
      <c r="E31" s="996"/>
      <c r="F31" s="996"/>
      <c r="G31" s="996"/>
      <c r="H31" s="996"/>
      <c r="I31" s="996"/>
      <c r="J31" s="996"/>
      <c r="K31" s="996"/>
      <c r="L31" s="212"/>
      <c r="M31" s="212"/>
      <c r="N31" s="212"/>
      <c r="O31" s="212"/>
      <c r="P31" s="624"/>
    </row>
    <row r="32" spans="1:16" ht="15.75" thickBot="1" x14ac:dyDescent="0.3">
      <c r="A32" s="686"/>
      <c r="B32" s="322"/>
      <c r="C32" s="229" t="s">
        <v>388</v>
      </c>
      <c r="D32" s="272"/>
      <c r="E32" s="272"/>
      <c r="F32" s="272"/>
      <c r="G32" s="272"/>
      <c r="H32" s="272"/>
      <c r="I32" s="272"/>
      <c r="J32" s="212"/>
      <c r="K32" s="212"/>
      <c r="L32" s="212"/>
      <c r="M32" s="212"/>
      <c r="N32" s="212"/>
      <c r="O32" s="212"/>
      <c r="P32" s="624"/>
    </row>
    <row r="33" spans="1:16" ht="15" customHeight="1" x14ac:dyDescent="0.25">
      <c r="A33" s="686"/>
      <c r="B33" s="322"/>
      <c r="C33" s="1058" t="s">
        <v>127</v>
      </c>
      <c r="D33" s="981" t="s">
        <v>355</v>
      </c>
      <c r="E33" s="987" t="s">
        <v>240</v>
      </c>
      <c r="F33" s="987"/>
      <c r="G33" s="1069" t="s">
        <v>128</v>
      </c>
      <c r="H33" s="1070"/>
      <c r="I33" s="1071"/>
      <c r="J33" s="1078" t="s">
        <v>356</v>
      </c>
      <c r="K33" s="1079"/>
      <c r="L33" s="1079"/>
      <c r="M33" s="1079"/>
      <c r="N33" s="1079"/>
      <c r="O33" s="1080"/>
      <c r="P33" s="624"/>
    </row>
    <row r="34" spans="1:16" x14ac:dyDescent="0.25">
      <c r="A34" s="686"/>
      <c r="B34" s="322"/>
      <c r="C34" s="1059"/>
      <c r="D34" s="982"/>
      <c r="E34" s="988"/>
      <c r="F34" s="988"/>
      <c r="G34" s="1072"/>
      <c r="H34" s="1073"/>
      <c r="I34" s="1074"/>
      <c r="J34" s="1081" t="s">
        <v>354</v>
      </c>
      <c r="K34" s="1082"/>
      <c r="L34" s="1082"/>
      <c r="M34" s="1082"/>
      <c r="N34" s="1082"/>
      <c r="O34" s="1083"/>
      <c r="P34" s="624"/>
    </row>
    <row r="35" spans="1:16" ht="17.25" thickBot="1" x14ac:dyDescent="0.3">
      <c r="A35" s="686"/>
      <c r="B35" s="322"/>
      <c r="C35" s="1060"/>
      <c r="D35" s="983"/>
      <c r="E35" s="569" t="s">
        <v>241</v>
      </c>
      <c r="F35" s="273" t="s">
        <v>242</v>
      </c>
      <c r="G35" s="1075"/>
      <c r="H35" s="1076"/>
      <c r="I35" s="1077"/>
      <c r="J35" s="1086">
        <v>1</v>
      </c>
      <c r="K35" s="1068"/>
      <c r="L35" s="1068">
        <v>2</v>
      </c>
      <c r="M35" s="1068"/>
      <c r="N35" s="1084">
        <v>3</v>
      </c>
      <c r="O35" s="1085"/>
      <c r="P35" s="624"/>
    </row>
    <row r="36" spans="1:16" ht="33.75" customHeight="1" x14ac:dyDescent="0.25">
      <c r="A36" s="686"/>
      <c r="B36" s="322"/>
      <c r="C36" s="274" t="s">
        <v>140</v>
      </c>
      <c r="D36" s="432"/>
      <c r="E36" s="489">
        <v>0.1</v>
      </c>
      <c r="F36" s="275">
        <v>0.3</v>
      </c>
      <c r="G36" s="993" t="s">
        <v>384</v>
      </c>
      <c r="H36" s="994"/>
      <c r="I36" s="995"/>
      <c r="J36" s="435"/>
      <c r="K36" s="489">
        <v>1</v>
      </c>
      <c r="L36" s="435"/>
      <c r="M36" s="489">
        <v>2</v>
      </c>
      <c r="N36" s="435"/>
      <c r="O36" s="205">
        <v>2.5</v>
      </c>
      <c r="P36" s="624"/>
    </row>
    <row r="37" spans="1:16" ht="30.75" customHeight="1" x14ac:dyDescent="0.25">
      <c r="A37" s="686"/>
      <c r="B37" s="322"/>
      <c r="C37" s="276" t="s">
        <v>130</v>
      </c>
      <c r="D37" s="433"/>
      <c r="E37" s="490">
        <v>0.3</v>
      </c>
      <c r="F37" s="277">
        <v>0.4</v>
      </c>
      <c r="G37" s="974" t="s">
        <v>131</v>
      </c>
      <c r="H37" s="975"/>
      <c r="I37" s="976"/>
      <c r="J37" s="436"/>
      <c r="K37" s="490">
        <v>1</v>
      </c>
      <c r="L37" s="436"/>
      <c r="M37" s="490">
        <v>1.8</v>
      </c>
      <c r="N37" s="436"/>
      <c r="O37" s="196">
        <v>2</v>
      </c>
      <c r="P37" s="624"/>
    </row>
    <row r="38" spans="1:16" ht="33" customHeight="1" x14ac:dyDescent="0.25">
      <c r="A38" s="686"/>
      <c r="B38" s="322"/>
      <c r="C38" s="276" t="s">
        <v>132</v>
      </c>
      <c r="D38" s="433"/>
      <c r="E38" s="490">
        <v>0.5</v>
      </c>
      <c r="F38" s="277">
        <v>0.5</v>
      </c>
      <c r="G38" s="974" t="s">
        <v>133</v>
      </c>
      <c r="H38" s="975"/>
      <c r="I38" s="976"/>
      <c r="J38" s="436"/>
      <c r="K38" s="490">
        <v>1</v>
      </c>
      <c r="L38" s="436"/>
      <c r="M38" s="490">
        <v>1.5</v>
      </c>
      <c r="N38" s="436"/>
      <c r="O38" s="196">
        <v>1.8</v>
      </c>
      <c r="P38" s="624"/>
    </row>
    <row r="39" spans="1:16" ht="32.25" customHeight="1" x14ac:dyDescent="0.25">
      <c r="A39" s="686"/>
      <c r="B39" s="322"/>
      <c r="C39" s="276" t="s">
        <v>134</v>
      </c>
      <c r="D39" s="433"/>
      <c r="E39" s="490">
        <v>0.7</v>
      </c>
      <c r="F39" s="277">
        <v>0.7</v>
      </c>
      <c r="G39" s="974" t="s">
        <v>383</v>
      </c>
      <c r="H39" s="975"/>
      <c r="I39" s="976"/>
      <c r="J39" s="436"/>
      <c r="K39" s="490">
        <v>1</v>
      </c>
      <c r="L39" s="436"/>
      <c r="M39" s="490">
        <v>1.3</v>
      </c>
      <c r="N39" s="436"/>
      <c r="O39" s="196">
        <v>1.4</v>
      </c>
      <c r="P39" s="624"/>
    </row>
    <row r="40" spans="1:16" ht="31.5" customHeight="1" x14ac:dyDescent="0.25">
      <c r="A40" s="686"/>
      <c r="B40" s="322"/>
      <c r="C40" s="276" t="s">
        <v>136</v>
      </c>
      <c r="D40" s="433"/>
      <c r="E40" s="490">
        <v>0.9</v>
      </c>
      <c r="F40" s="277">
        <v>0.9</v>
      </c>
      <c r="G40" s="974" t="s">
        <v>382</v>
      </c>
      <c r="H40" s="975"/>
      <c r="I40" s="976"/>
      <c r="J40" s="436"/>
      <c r="K40" s="490">
        <v>1</v>
      </c>
      <c r="L40" s="436"/>
      <c r="M40" s="490">
        <v>1.1000000000000001</v>
      </c>
      <c r="N40" s="436"/>
      <c r="O40" s="196">
        <v>1.1000000000000001</v>
      </c>
      <c r="P40" s="624"/>
    </row>
    <row r="41" spans="1:16" ht="30" customHeight="1" x14ac:dyDescent="0.25">
      <c r="A41" s="686"/>
      <c r="B41" s="322"/>
      <c r="C41" s="276" t="s">
        <v>141</v>
      </c>
      <c r="D41" s="433"/>
      <c r="E41" s="490">
        <v>1</v>
      </c>
      <c r="F41" s="277">
        <v>1</v>
      </c>
      <c r="G41" s="974" t="s">
        <v>138</v>
      </c>
      <c r="H41" s="975"/>
      <c r="I41" s="976"/>
      <c r="J41" s="436"/>
      <c r="K41" s="490">
        <v>1</v>
      </c>
      <c r="L41" s="436"/>
      <c r="M41" s="490">
        <v>1</v>
      </c>
      <c r="N41" s="436"/>
      <c r="O41" s="196">
        <v>1</v>
      </c>
      <c r="P41" s="624"/>
    </row>
    <row r="42" spans="1:16" ht="29.25" customHeight="1" x14ac:dyDescent="0.25">
      <c r="A42" s="686"/>
      <c r="B42" s="322"/>
      <c r="C42" s="274" t="s">
        <v>389</v>
      </c>
      <c r="D42" s="432"/>
      <c r="E42" s="492">
        <v>0.5</v>
      </c>
      <c r="F42" s="177">
        <v>0.55000000000000004</v>
      </c>
      <c r="G42" s="974"/>
      <c r="H42" s="975"/>
      <c r="I42" s="976"/>
      <c r="J42" s="435"/>
      <c r="K42" s="489">
        <v>1</v>
      </c>
      <c r="L42" s="435"/>
      <c r="M42" s="489">
        <v>1.5</v>
      </c>
      <c r="N42" s="435"/>
      <c r="O42" s="205">
        <v>1.8</v>
      </c>
      <c r="P42" s="624"/>
    </row>
    <row r="43" spans="1:16" ht="28.5" customHeight="1" x14ac:dyDescent="0.25">
      <c r="A43" s="686"/>
      <c r="B43" s="322"/>
      <c r="C43" s="276" t="s">
        <v>390</v>
      </c>
      <c r="D43" s="433"/>
      <c r="E43" s="493">
        <v>0.7</v>
      </c>
      <c r="F43" s="167">
        <v>0.75</v>
      </c>
      <c r="G43" s="974"/>
      <c r="H43" s="975"/>
      <c r="I43" s="976"/>
      <c r="J43" s="436"/>
      <c r="K43" s="490">
        <v>1</v>
      </c>
      <c r="L43" s="436"/>
      <c r="M43" s="490">
        <v>1.3</v>
      </c>
      <c r="N43" s="436"/>
      <c r="O43" s="196">
        <v>1.4</v>
      </c>
      <c r="P43" s="624"/>
    </row>
    <row r="44" spans="1:16" ht="27.75" customHeight="1" x14ac:dyDescent="0.25">
      <c r="A44" s="686"/>
      <c r="B44" s="322"/>
      <c r="C44" s="276" t="s">
        <v>391</v>
      </c>
      <c r="D44" s="433"/>
      <c r="E44" s="493">
        <v>0.85</v>
      </c>
      <c r="F44" s="167">
        <v>0.85</v>
      </c>
      <c r="G44" s="974"/>
      <c r="H44" s="975"/>
      <c r="I44" s="976"/>
      <c r="J44" s="436"/>
      <c r="K44" s="490">
        <v>1</v>
      </c>
      <c r="L44" s="436"/>
      <c r="M44" s="490">
        <v>1.1000000000000001</v>
      </c>
      <c r="N44" s="436"/>
      <c r="O44" s="196">
        <v>1.1000000000000001</v>
      </c>
      <c r="P44" s="624"/>
    </row>
    <row r="45" spans="1:16" ht="25.5" customHeight="1" thickBot="1" x14ac:dyDescent="0.3">
      <c r="A45" s="686"/>
      <c r="B45" s="322"/>
      <c r="C45" s="276" t="s">
        <v>392</v>
      </c>
      <c r="D45" s="434"/>
      <c r="E45" s="494">
        <v>0.95</v>
      </c>
      <c r="F45" s="358">
        <v>0.95</v>
      </c>
      <c r="G45" s="977"/>
      <c r="H45" s="978"/>
      <c r="I45" s="979"/>
      <c r="J45" s="437"/>
      <c r="K45" s="491">
        <v>1</v>
      </c>
      <c r="L45" s="437"/>
      <c r="M45" s="491">
        <v>1</v>
      </c>
      <c r="N45" s="437"/>
      <c r="O45" s="200">
        <v>1</v>
      </c>
      <c r="P45" s="624"/>
    </row>
    <row r="46" spans="1:16" ht="24" customHeight="1" x14ac:dyDescent="0.25">
      <c r="A46" s="686"/>
      <c r="B46" s="322"/>
      <c r="C46" s="980" t="s">
        <v>239</v>
      </c>
      <c r="D46" s="980"/>
      <c r="E46" s="980"/>
      <c r="F46" s="980"/>
      <c r="G46" s="980"/>
      <c r="H46" s="980"/>
      <c r="I46" s="980"/>
      <c r="J46" s="212"/>
      <c r="K46" s="212"/>
      <c r="L46" s="212"/>
      <c r="M46" s="212"/>
      <c r="N46" s="212"/>
      <c r="O46" s="212"/>
      <c r="P46" s="624"/>
    </row>
    <row r="47" spans="1:16" ht="24.75" customHeight="1" thickBot="1" x14ac:dyDescent="0.3">
      <c r="A47" s="686"/>
      <c r="B47" s="322"/>
      <c r="C47" s="253"/>
      <c r="D47" s="253"/>
      <c r="E47" s="253"/>
      <c r="F47" s="253"/>
      <c r="G47" s="253"/>
      <c r="H47" s="253"/>
      <c r="I47" s="253"/>
      <c r="J47" s="212"/>
      <c r="K47" s="212"/>
      <c r="L47" s="212"/>
      <c r="M47" s="212"/>
      <c r="N47" s="212"/>
      <c r="O47" s="212"/>
      <c r="P47" s="624"/>
    </row>
    <row r="48" spans="1:16" ht="36.75" customHeight="1" x14ac:dyDescent="0.25">
      <c r="A48" s="686"/>
      <c r="B48" s="322"/>
      <c r="C48" s="1095" t="s">
        <v>380</v>
      </c>
      <c r="D48" s="1096"/>
      <c r="E48" s="1096"/>
      <c r="F48" s="1096"/>
      <c r="G48" s="1097"/>
      <c r="H48" s="312"/>
      <c r="I48" s="212"/>
      <c r="J48" s="212"/>
      <c r="K48" s="212"/>
      <c r="L48" s="212"/>
      <c r="M48" s="212"/>
      <c r="N48" s="212"/>
      <c r="O48" s="212"/>
      <c r="P48" s="624"/>
    </row>
    <row r="49" spans="1:16" ht="27.75" customHeight="1" x14ac:dyDescent="0.25">
      <c r="A49" s="686"/>
      <c r="B49" s="322"/>
      <c r="C49" s="1093" t="s">
        <v>260</v>
      </c>
      <c r="D49" s="1094"/>
      <c r="E49" s="1094"/>
      <c r="F49" s="1033" t="str">
        <f>IF(D36="Ja",E36,IF(D37="ja",E37,IF(D38="ja",E38,IF(D39="ja",E39,IF(D40="ja",E40,IF(D41="ja",E41,IF(D41="ja",E41,IF(D42="ja",E42,IF(D43="ja",E43,IF(D44="ja",E44,IF(D45="ja",E45,"Må angi en verdi!")))))))))))</f>
        <v>Må angi en verdi!</v>
      </c>
      <c r="G49" s="1034"/>
      <c r="H49" s="321"/>
      <c r="I49" s="212"/>
      <c r="J49" s="212"/>
      <c r="K49" s="212"/>
      <c r="L49" s="212"/>
      <c r="M49" s="212"/>
      <c r="N49" s="212"/>
      <c r="O49" s="212"/>
      <c r="P49" s="624"/>
    </row>
    <row r="50" spans="1:16" ht="27.75" customHeight="1" x14ac:dyDescent="0.25">
      <c r="A50" s="686"/>
      <c r="B50" s="322"/>
      <c r="C50" s="1093" t="s">
        <v>259</v>
      </c>
      <c r="D50" s="1094"/>
      <c r="E50" s="1094"/>
      <c r="F50" s="1033" t="str">
        <f>IF(D36="Ja",F36,IF(D37="ja",F37,IF(D38="ja",F38,IF(D39="ja",F39,IF(D40="ja",F40,IF(D41="ja",F41,IF(D42="ja",F42,IF(D43="ja",F43,IF(D44="ja",F44,IF(D45="ja",F45,"Må angi en verdi!"))))))))))</f>
        <v>Må angi en verdi!</v>
      </c>
      <c r="G50" s="1034"/>
      <c r="H50" s="319"/>
      <c r="I50" s="212"/>
      <c r="J50" s="212"/>
      <c r="K50" s="212"/>
      <c r="L50" s="212"/>
      <c r="M50" s="212"/>
      <c r="N50" s="212"/>
      <c r="O50" s="212"/>
      <c r="P50" s="624"/>
    </row>
    <row r="51" spans="1:16" ht="27" customHeight="1" x14ac:dyDescent="0.25">
      <c r="A51" s="686"/>
      <c r="B51" s="322"/>
      <c r="C51" s="1093" t="s">
        <v>244</v>
      </c>
      <c r="D51" s="1094"/>
      <c r="E51" s="1094"/>
      <c r="F51" s="1031" t="str">
        <f>IF($J$36="ja",$K$36,IF($J$37="ja",$K$37,IF($J$38="ja",$K$38,IF($J$39="ja",$K$39,IF($J$40="ja",$K$40,IF($J$41="ja",$K$41,IF($L$36="ja",$M$36,IF($L$37="ja",$M$37,IF($L$38="ja",$M$38,IF($L$39="ja",$M$39,IF($L$40="ja",$M$40,IF($L$41="ja",$M$41,IF($N$36="ja",$O$36,IF($N$37="ja",$O$37,IF($N$38="ja",$O$38,IF($N$39="ja",$O$39,IF($N$40="ja",$O$40,IF($N$41="ja",$O$41,IF($J$42="ja",$K$42,IF($J$43="ja",$K$43,IF($J$44="ja",$K$44,IF($J$45="ja",$K$45,IF($L$42="ja",$M$42,IF($L$43="ja",$M$43,IF($L$44="ja",$M$44,IF($L$45="ja",$M$45,IF($N$42="ja",$O$42,IF($N$43="ja",$O$43,IF($N$44="ja",$O$44,IF($N$45="ja",$O$45,"Må angi en verdi!"))))))))))))))))))))))))))))))</f>
        <v>Må angi en verdi!</v>
      </c>
      <c r="G51" s="1032"/>
      <c r="H51" s="212"/>
      <c r="I51" s="212"/>
      <c r="J51" s="212"/>
      <c r="K51" s="212"/>
      <c r="L51" s="212"/>
      <c r="M51" s="212"/>
      <c r="N51" s="212"/>
      <c r="O51" s="212"/>
      <c r="P51" s="624"/>
    </row>
    <row r="52" spans="1:16" ht="33" customHeight="1" x14ac:dyDescent="0.25">
      <c r="A52" s="686"/>
      <c r="B52" s="322"/>
      <c r="C52" s="1093" t="s">
        <v>245</v>
      </c>
      <c r="D52" s="1094"/>
      <c r="E52" s="1094"/>
      <c r="F52" s="1033">
        <f>$H$18</f>
        <v>0</v>
      </c>
      <c r="G52" s="1034"/>
      <c r="H52" s="556"/>
      <c r="I52" s="212"/>
      <c r="J52" s="212"/>
      <c r="K52" s="212"/>
      <c r="L52" s="212"/>
      <c r="M52" s="212"/>
      <c r="N52" s="212"/>
      <c r="O52" s="212"/>
      <c r="P52" s="624"/>
    </row>
    <row r="53" spans="1:16" ht="33.75" customHeight="1" x14ac:dyDescent="0.25">
      <c r="A53" s="686"/>
      <c r="B53" s="322"/>
      <c r="C53" s="1103" t="s">
        <v>253</v>
      </c>
      <c r="D53" s="1104"/>
      <c r="E53" s="1104"/>
      <c r="F53" s="1035" t="str">
        <f>IF($F$49="Må angi en verdi","velg grad av stempelstrøm",IF($F$51="Må angi en verdi!","Velg faktor kammer",$F$49*$F$51*$F$52))</f>
        <v>Velg faktor kammer</v>
      </c>
      <c r="G53" s="1036"/>
      <c r="H53" s="556"/>
      <c r="I53" s="212"/>
      <c r="J53" s="212"/>
      <c r="K53" s="212"/>
      <c r="L53" s="212"/>
      <c r="M53" s="212"/>
      <c r="N53" s="212"/>
      <c r="O53" s="212"/>
      <c r="P53" s="624"/>
    </row>
    <row r="54" spans="1:16" ht="35.25" customHeight="1" thickBot="1" x14ac:dyDescent="0.3">
      <c r="A54" s="686"/>
      <c r="B54" s="323"/>
      <c r="C54" s="1101" t="s">
        <v>261</v>
      </c>
      <c r="D54" s="1102"/>
      <c r="E54" s="1102"/>
      <c r="F54" s="1037" t="str">
        <f>IF($F$50="Må angi en verdi","velg grad av stempelstrøm",IF($F$51="Må angi en verdi!","Velg faktor kammer",$F$50*$F$51*$F$52))</f>
        <v>Velg faktor kammer</v>
      </c>
      <c r="G54" s="1038"/>
      <c r="H54" s="556"/>
      <c r="I54" s="212"/>
      <c r="J54" s="212"/>
      <c r="K54" s="212"/>
      <c r="L54" s="212"/>
      <c r="M54" s="212"/>
      <c r="N54" s="212"/>
      <c r="O54" s="212"/>
      <c r="P54" s="682"/>
    </row>
    <row r="55" spans="1:16" ht="15.75" thickBot="1" x14ac:dyDescent="0.3">
      <c r="A55" s="686"/>
      <c r="B55" s="323"/>
      <c r="C55" s="639"/>
      <c r="D55" s="229"/>
      <c r="E55" s="229"/>
      <c r="F55" s="229"/>
      <c r="G55" s="229"/>
      <c r="H55" s="229"/>
      <c r="I55" s="229"/>
      <c r="J55" s="212"/>
      <c r="K55" s="212"/>
      <c r="L55" s="212"/>
      <c r="M55" s="212"/>
      <c r="N55" s="212"/>
      <c r="O55" s="212"/>
      <c r="P55" s="682"/>
    </row>
    <row r="56" spans="1:16" ht="45" customHeight="1" thickBot="1" x14ac:dyDescent="0.3">
      <c r="A56" s="686"/>
      <c r="B56" s="323"/>
      <c r="C56" s="1105" t="s">
        <v>460</v>
      </c>
      <c r="D56" s="1106"/>
      <c r="E56" s="1106"/>
      <c r="F56" s="1106"/>
      <c r="G56" s="1107"/>
      <c r="H56" s="229"/>
      <c r="I56" s="229"/>
      <c r="J56" s="212"/>
      <c r="K56" s="212"/>
      <c r="L56" s="212"/>
      <c r="M56" s="212"/>
      <c r="N56" s="212"/>
      <c r="O56" s="212"/>
      <c r="P56" s="682"/>
    </row>
    <row r="57" spans="1:16" ht="32.25" customHeight="1" thickBot="1" x14ac:dyDescent="0.3">
      <c r="A57" s="686"/>
      <c r="B57" s="323"/>
      <c r="C57" s="1110" t="s">
        <v>250</v>
      </c>
      <c r="D57" s="1111"/>
      <c r="E57" s="1130" t="s">
        <v>433</v>
      </c>
      <c r="F57" s="1131"/>
      <c r="G57" s="1132"/>
      <c r="H57" s="212"/>
      <c r="I57" s="465"/>
      <c r="J57" s="212"/>
      <c r="K57" s="212"/>
      <c r="L57" s="212"/>
      <c r="M57" s="212"/>
      <c r="N57" s="212"/>
      <c r="O57" s="212"/>
      <c r="P57" s="682"/>
    </row>
    <row r="58" spans="1:16" ht="21.75" customHeight="1" x14ac:dyDescent="0.25">
      <c r="A58" s="686"/>
      <c r="B58" s="323"/>
      <c r="C58" s="441" t="s">
        <v>249</v>
      </c>
      <c r="D58" s="442"/>
      <c r="E58" s="442"/>
      <c r="F58" s="442"/>
      <c r="G58" s="443"/>
      <c r="H58" s="212"/>
      <c r="I58" s="212"/>
      <c r="J58" s="212"/>
      <c r="K58" s="212"/>
      <c r="L58" s="212"/>
      <c r="M58" s="212"/>
      <c r="N58" s="212"/>
      <c r="O58" s="212"/>
      <c r="P58" s="682"/>
    </row>
    <row r="59" spans="1:16" ht="25.5" customHeight="1" x14ac:dyDescent="0.25">
      <c r="A59" s="686"/>
      <c r="B59" s="322"/>
      <c r="C59" s="444" t="s">
        <v>334</v>
      </c>
      <c r="D59" s="440" t="s">
        <v>393</v>
      </c>
      <c r="E59" s="450" t="e">
        <f>IF(E57="Ved kombinasjon av målinger og beregninger (Cdose, Cut og TOC)",0.14*H13+0.58*H14+0.09*H14/H13+0.07*H12-0.92,IF(E57="Ved målinger (Cdose, Ci og Cut)",H14-H17,IF(E57="Ved beregninger (Cdose, TOC)",0.14*H13+0.58*H14+0.09*H14/H13+0.07*H12-0.92,"")))</f>
        <v>#DIV/0!</v>
      </c>
      <c r="F59" s="440"/>
      <c r="G59" s="445"/>
      <c r="H59" s="212"/>
      <c r="I59" s="212"/>
      <c r="J59" s="212"/>
      <c r="K59" s="212"/>
      <c r="L59" s="212"/>
      <c r="M59" s="212"/>
      <c r="N59" s="212"/>
      <c r="O59" s="212"/>
      <c r="P59" s="624"/>
    </row>
    <row r="60" spans="1:16" ht="25.5" customHeight="1" x14ac:dyDescent="0.25">
      <c r="A60" s="686"/>
      <c r="B60" s="322"/>
      <c r="C60" s="444" t="s">
        <v>263</v>
      </c>
      <c r="D60" s="440" t="s">
        <v>393</v>
      </c>
      <c r="E60" s="450" t="e">
        <f>IF((H14*H15-E59)&lt;0,0,(H14*H15-E59))</f>
        <v>#DIV/0!</v>
      </c>
      <c r="F60" s="440"/>
      <c r="G60" s="445"/>
      <c r="H60" s="212"/>
      <c r="I60" s="212"/>
      <c r="J60" s="212"/>
      <c r="K60" s="212"/>
      <c r="L60" s="212"/>
      <c r="M60" s="212"/>
      <c r="N60" s="212"/>
      <c r="O60" s="212"/>
      <c r="P60" s="624"/>
    </row>
    <row r="61" spans="1:16" ht="24.75" customHeight="1" x14ac:dyDescent="0.25">
      <c r="A61" s="686"/>
      <c r="B61" s="322"/>
      <c r="C61" s="444" t="s">
        <v>264</v>
      </c>
      <c r="D61" s="440"/>
      <c r="E61" s="450" t="e">
        <f>IF(E57="Ved kombinasjon av målinger og beregninger (Cdose, Cut og TOC)",-(LN(H16/E60))/F54,IF(E57="Ved målinger (Cdose, Ci og Cut)",-(LN(H16/E60))/F54,IF(E57="Ved beregninger (Cdose, TOC)",0.05*H13-0.032*E60-0.017*E60/H13+0.084*H12-0.48,"")))</f>
        <v>#DIV/0!</v>
      </c>
      <c r="F61" s="440"/>
      <c r="G61" s="445"/>
      <c r="H61" s="212"/>
      <c r="I61" s="212"/>
      <c r="J61" s="212"/>
      <c r="K61" s="212"/>
      <c r="L61" s="212"/>
      <c r="M61" s="212"/>
      <c r="N61" s="212"/>
      <c r="O61" s="212"/>
      <c r="P61" s="624"/>
    </row>
    <row r="62" spans="1:16" ht="33" customHeight="1" thickBot="1" x14ac:dyDescent="0.3">
      <c r="A62" s="686"/>
      <c r="B62" s="322"/>
      <c r="C62" s="446" t="s">
        <v>188</v>
      </c>
      <c r="D62" s="449" t="s">
        <v>247</v>
      </c>
      <c r="E62" s="448" t="e">
        <f>(E60/E61)*(1-EXP(-E61*F53))</f>
        <v>#DIV/0!</v>
      </c>
      <c r="F62" s="1043" t="s">
        <v>254</v>
      </c>
      <c r="G62" s="1044"/>
      <c r="H62" s="212"/>
      <c r="I62" s="212"/>
      <c r="J62" s="212"/>
      <c r="K62" s="212"/>
      <c r="L62" s="212"/>
      <c r="M62" s="212"/>
      <c r="N62" s="212"/>
      <c r="O62" s="212"/>
      <c r="P62" s="624"/>
    </row>
    <row r="63" spans="1:16" ht="24" customHeight="1" x14ac:dyDescent="0.25">
      <c r="A63" s="686"/>
      <c r="B63" s="322"/>
      <c r="C63" s="212" t="s">
        <v>395</v>
      </c>
      <c r="D63" s="310"/>
      <c r="E63" s="466"/>
      <c r="F63" s="467"/>
      <c r="G63" s="467"/>
      <c r="H63" s="212"/>
      <c r="I63" s="212"/>
      <c r="J63" s="212"/>
      <c r="K63" s="212"/>
      <c r="L63" s="212"/>
      <c r="M63" s="212"/>
      <c r="N63" s="212"/>
      <c r="O63" s="212"/>
      <c r="P63" s="624"/>
    </row>
    <row r="64" spans="1:16" ht="21" customHeight="1" thickBot="1" x14ac:dyDescent="0.3">
      <c r="A64" s="686"/>
      <c r="B64" s="322"/>
      <c r="C64" s="310"/>
      <c r="D64" s="310"/>
      <c r="E64" s="310"/>
      <c r="F64" s="310"/>
      <c r="G64" s="310"/>
      <c r="H64" s="229"/>
      <c r="I64" s="212"/>
      <c r="J64" s="212"/>
      <c r="K64" s="212"/>
      <c r="L64" s="212"/>
      <c r="M64" s="212"/>
      <c r="N64" s="212"/>
      <c r="O64" s="212"/>
      <c r="P64" s="624"/>
    </row>
    <row r="65" spans="1:16" ht="27.75" customHeight="1" thickBot="1" x14ac:dyDescent="0.3">
      <c r="A65" s="686"/>
      <c r="B65" s="323"/>
      <c r="C65" s="1117" t="s">
        <v>336</v>
      </c>
      <c r="D65" s="1118"/>
      <c r="E65" s="1118"/>
      <c r="F65" s="1118"/>
      <c r="G65" s="1118"/>
      <c r="H65" s="1119"/>
      <c r="I65" s="212"/>
      <c r="J65" s="212"/>
      <c r="K65" s="322"/>
      <c r="L65" s="322"/>
      <c r="M65" s="322"/>
      <c r="N65" s="322"/>
      <c r="O65" s="322"/>
      <c r="P65" s="624"/>
    </row>
    <row r="66" spans="1:16" ht="30" x14ac:dyDescent="0.25">
      <c r="A66" s="686"/>
      <c r="B66" s="323"/>
      <c r="C66" s="1049"/>
      <c r="D66" s="1050"/>
      <c r="E66" s="567" t="s">
        <v>97</v>
      </c>
      <c r="F66" s="567" t="s">
        <v>98</v>
      </c>
      <c r="G66" s="510" t="s">
        <v>163</v>
      </c>
      <c r="H66" s="511" t="s">
        <v>171</v>
      </c>
      <c r="I66" s="212"/>
      <c r="J66" s="212"/>
      <c r="K66" s="322"/>
      <c r="L66" s="322"/>
      <c r="M66" s="322"/>
      <c r="N66" s="322"/>
      <c r="O66" s="322"/>
      <c r="P66" s="624"/>
    </row>
    <row r="67" spans="1:16" ht="27" customHeight="1" x14ac:dyDescent="0.25">
      <c r="A67" s="686"/>
      <c r="B67" s="323"/>
      <c r="C67" s="1047" t="s">
        <v>335</v>
      </c>
      <c r="D67" s="1048"/>
      <c r="E67" s="313">
        <v>4</v>
      </c>
      <c r="F67" s="313">
        <v>4</v>
      </c>
      <c r="G67" s="313">
        <v>3</v>
      </c>
      <c r="H67" s="512">
        <v>3</v>
      </c>
      <c r="I67" s="212"/>
      <c r="J67" s="212"/>
      <c r="K67" s="322"/>
      <c r="L67" s="322"/>
      <c r="M67" s="322"/>
      <c r="N67" s="322"/>
      <c r="O67" s="322"/>
      <c r="P67" s="624"/>
    </row>
    <row r="68" spans="1:16" ht="30.75" customHeight="1" x14ac:dyDescent="0.25">
      <c r="A68" s="686"/>
      <c r="B68" s="323"/>
      <c r="C68" s="1108" t="s">
        <v>255</v>
      </c>
      <c r="D68" s="1109"/>
      <c r="E68" s="313">
        <f>IF($F$9=0,0,3*$E$62/$F$9)</f>
        <v>0</v>
      </c>
      <c r="F68" s="313">
        <f>IF($G$9=0,0,3*$E$62/$G$9)</f>
        <v>0</v>
      </c>
      <c r="G68" s="313">
        <f>IF($H$9=0,0,2*$E$62/$H$9)</f>
        <v>0</v>
      </c>
      <c r="H68" s="512">
        <f>IF($I$9=0,0,2*$E$62/$I$9)</f>
        <v>0</v>
      </c>
      <c r="I68" s="212"/>
      <c r="J68" s="212"/>
      <c r="K68" s="212"/>
      <c r="L68" s="212"/>
      <c r="M68" s="212"/>
      <c r="N68" s="212"/>
      <c r="O68" s="212"/>
      <c r="P68" s="624"/>
    </row>
    <row r="69" spans="1:16" ht="36" customHeight="1" thickBot="1" x14ac:dyDescent="0.3">
      <c r="A69" s="686"/>
      <c r="B69" s="323"/>
      <c r="C69" s="1045" t="s">
        <v>337</v>
      </c>
      <c r="D69" s="1046"/>
      <c r="E69" s="447">
        <f>IF(E68&lt;4,E68,4)</f>
        <v>0</v>
      </c>
      <c r="F69" s="447">
        <f t="shared" ref="F69" si="0">IF(F68&lt;4,F68,4)</f>
        <v>0</v>
      </c>
      <c r="G69" s="447">
        <f>IF(G68&lt;3,G68,3)</f>
        <v>0</v>
      </c>
      <c r="H69" s="527">
        <f>IF(H68&lt;3,H68,3)</f>
        <v>0</v>
      </c>
      <c r="I69" s="143"/>
      <c r="J69" s="143"/>
      <c r="K69" s="143"/>
      <c r="L69" s="143"/>
      <c r="M69" s="143"/>
      <c r="N69" s="143"/>
      <c r="O69" s="143"/>
      <c r="P69" s="624"/>
    </row>
    <row r="70" spans="1:16" ht="27" customHeight="1" thickBot="1" x14ac:dyDescent="0.3">
      <c r="A70" s="686"/>
      <c r="B70" s="323"/>
      <c r="C70" s="323"/>
      <c r="D70" s="323"/>
      <c r="E70" s="323"/>
      <c r="F70" s="323"/>
      <c r="G70" s="323"/>
      <c r="H70" s="323"/>
      <c r="I70" s="323"/>
      <c r="J70" s="323"/>
      <c r="K70" s="323"/>
      <c r="L70" s="323"/>
      <c r="M70" s="323"/>
      <c r="N70" s="323"/>
      <c r="O70" s="323"/>
      <c r="P70" s="682"/>
    </row>
    <row r="71" spans="1:16" ht="55.5" customHeight="1" thickBot="1" x14ac:dyDescent="0.3">
      <c r="A71" s="686"/>
      <c r="B71" s="1090" t="s">
        <v>461</v>
      </c>
      <c r="C71" s="1091"/>
      <c r="D71" s="1091"/>
      <c r="E71" s="1091"/>
      <c r="F71" s="1091"/>
      <c r="G71" s="1091"/>
      <c r="H71" s="1091"/>
      <c r="I71" s="1091"/>
      <c r="J71" s="1092"/>
      <c r="K71" s="323"/>
      <c r="L71" s="323"/>
      <c r="M71" s="323"/>
      <c r="N71" s="323"/>
      <c r="O71" s="323"/>
      <c r="P71" s="682"/>
    </row>
    <row r="72" spans="1:16" ht="23.25" customHeight="1" thickBot="1" x14ac:dyDescent="0.3">
      <c r="A72" s="686"/>
      <c r="B72" s="322"/>
      <c r="C72" s="322"/>
      <c r="D72" s="322"/>
      <c r="E72" s="322"/>
      <c r="F72" s="322"/>
      <c r="G72" s="322"/>
      <c r="H72" s="322"/>
      <c r="I72" s="322"/>
      <c r="J72" s="322"/>
      <c r="K72" s="323"/>
      <c r="L72" s="323"/>
      <c r="M72" s="323"/>
      <c r="N72" s="323"/>
      <c r="O72" s="323"/>
      <c r="P72" s="682"/>
    </row>
    <row r="73" spans="1:16" ht="60" x14ac:dyDescent="0.25">
      <c r="A73" s="686"/>
      <c r="B73" s="314" t="s">
        <v>37</v>
      </c>
      <c r="C73" s="723" t="s">
        <v>13</v>
      </c>
      <c r="D73" s="316" t="s">
        <v>12</v>
      </c>
      <c r="E73" s="316" t="s">
        <v>2</v>
      </c>
      <c r="F73" s="316" t="s">
        <v>102</v>
      </c>
      <c r="G73" s="317" t="s">
        <v>97</v>
      </c>
      <c r="H73" s="317" t="s">
        <v>98</v>
      </c>
      <c r="I73" s="715" t="s">
        <v>163</v>
      </c>
      <c r="J73" s="223" t="s">
        <v>171</v>
      </c>
      <c r="K73" s="323"/>
      <c r="L73" s="323"/>
      <c r="M73" s="323"/>
      <c r="N73" s="323"/>
      <c r="O73" s="323"/>
      <c r="P73" s="682"/>
    </row>
    <row r="74" spans="1:16" ht="29.25" x14ac:dyDescent="0.25">
      <c r="A74" s="686"/>
      <c r="B74" s="716"/>
      <c r="C74" s="717" t="s">
        <v>213</v>
      </c>
      <c r="D74" s="718">
        <v>0.1</v>
      </c>
      <c r="E74" s="719"/>
      <c r="F74" s="720"/>
      <c r="G74" s="177">
        <f>-D74*E69</f>
        <v>0</v>
      </c>
      <c r="H74" s="177">
        <f>-D74*F69</f>
        <v>0</v>
      </c>
      <c r="I74" s="177">
        <f>-G69*D74</f>
        <v>0</v>
      </c>
      <c r="J74" s="722">
        <f>-H69*D74</f>
        <v>0</v>
      </c>
      <c r="K74" s="323"/>
      <c r="L74" s="323"/>
      <c r="M74" s="323"/>
      <c r="N74" s="323"/>
      <c r="O74" s="323"/>
      <c r="P74" s="682"/>
    </row>
    <row r="75" spans="1:16" ht="28.5" x14ac:dyDescent="0.25">
      <c r="A75" s="686"/>
      <c r="B75" s="285" t="s">
        <v>38</v>
      </c>
      <c r="C75" s="286" t="s">
        <v>256</v>
      </c>
      <c r="D75" s="287">
        <v>0.1</v>
      </c>
      <c r="E75" s="419" t="s">
        <v>17</v>
      </c>
      <c r="F75" s="213">
        <f>IF(E75="nei",0,D75)</f>
        <v>0</v>
      </c>
      <c r="G75" s="290">
        <f>E69*$F$75</f>
        <v>0</v>
      </c>
      <c r="H75" s="290">
        <f>F69*$F$75</f>
        <v>0</v>
      </c>
      <c r="I75" s="167">
        <f>G69*$F$75</f>
        <v>0</v>
      </c>
      <c r="J75" s="516">
        <f>H69*$F$75</f>
        <v>0</v>
      </c>
      <c r="K75" s="323"/>
      <c r="L75" s="323"/>
      <c r="M75" s="323"/>
      <c r="N75" s="323"/>
      <c r="O75" s="323"/>
      <c r="P75" s="682"/>
    </row>
    <row r="76" spans="1:16" ht="28.5" x14ac:dyDescent="0.25">
      <c r="A76" s="686"/>
      <c r="B76" s="285" t="s">
        <v>39</v>
      </c>
      <c r="C76" s="286" t="s">
        <v>257</v>
      </c>
      <c r="D76" s="287">
        <v>0.05</v>
      </c>
      <c r="E76" s="419" t="s">
        <v>17</v>
      </c>
      <c r="F76" s="213">
        <f>IF(E76="nei",0,D76)</f>
        <v>0</v>
      </c>
      <c r="G76" s="290">
        <f>E69*$F$76</f>
        <v>0</v>
      </c>
      <c r="H76" s="290">
        <f>F69*$F$76</f>
        <v>0</v>
      </c>
      <c r="I76" s="167">
        <f>G69*$F$76</f>
        <v>0</v>
      </c>
      <c r="J76" s="516">
        <f>H69*$F$76</f>
        <v>0</v>
      </c>
      <c r="K76" s="323"/>
      <c r="L76" s="323"/>
      <c r="M76" s="323"/>
      <c r="N76" s="323"/>
      <c r="O76" s="323"/>
      <c r="P76" s="682"/>
    </row>
    <row r="77" spans="1:16" ht="29.25" customHeight="1" thickBot="1" x14ac:dyDescent="0.3">
      <c r="A77" s="686"/>
      <c r="B77" s="1039" t="s">
        <v>9</v>
      </c>
      <c r="C77" s="1040"/>
      <c r="D77" s="291"/>
      <c r="E77" s="292"/>
      <c r="F77" s="293"/>
      <c r="G77" s="294">
        <f>IF(F75+F76&gt;10%,0,G74+G75+G76)</f>
        <v>0</v>
      </c>
      <c r="H77" s="294">
        <f>IF(F75+F76&gt;10%,0,H74+H75+H76)</f>
        <v>0</v>
      </c>
      <c r="I77" s="294">
        <f>IF(F75+F76&gt;10%,0,I74+I75+I76)</f>
        <v>0</v>
      </c>
      <c r="J77" s="522">
        <f>IF(F75+F76&gt;10%,0,J74+J75+J76)</f>
        <v>0</v>
      </c>
      <c r="K77" s="323"/>
      <c r="L77" s="323"/>
      <c r="M77" s="323"/>
      <c r="N77" s="323"/>
      <c r="O77" s="323"/>
      <c r="P77" s="682"/>
    </row>
    <row r="78" spans="1:16" ht="15.75" thickBot="1" x14ac:dyDescent="0.3">
      <c r="A78" s="686"/>
      <c r="B78" s="212"/>
      <c r="C78" s="311"/>
      <c r="D78" s="311"/>
      <c r="E78" s="229"/>
      <c r="F78" s="296"/>
      <c r="G78" s="212"/>
      <c r="H78" s="212"/>
      <c r="I78" s="212"/>
      <c r="J78" s="322"/>
      <c r="K78" s="323"/>
      <c r="L78" s="323"/>
      <c r="M78" s="323"/>
      <c r="N78" s="323"/>
      <c r="O78" s="323"/>
      <c r="P78" s="682"/>
    </row>
    <row r="79" spans="1:16" ht="63" x14ac:dyDescent="0.25">
      <c r="A79" s="686"/>
      <c r="B79" s="314" t="s">
        <v>40</v>
      </c>
      <c r="C79" s="318" t="s">
        <v>15</v>
      </c>
      <c r="D79" s="315" t="s">
        <v>12</v>
      </c>
      <c r="E79" s="316" t="s">
        <v>2</v>
      </c>
      <c r="F79" s="316" t="str">
        <f>F73</f>
        <v>Reduksjon i fratrekk</v>
      </c>
      <c r="G79" s="317" t="s">
        <v>97</v>
      </c>
      <c r="H79" s="317" t="s">
        <v>98</v>
      </c>
      <c r="I79" s="712" t="s">
        <v>163</v>
      </c>
      <c r="J79" s="223" t="s">
        <v>171</v>
      </c>
      <c r="K79" s="323"/>
      <c r="L79" s="323"/>
      <c r="M79" s="323"/>
      <c r="N79" s="323"/>
      <c r="O79" s="323"/>
      <c r="P79" s="682"/>
    </row>
    <row r="80" spans="1:16" ht="29.25" x14ac:dyDescent="0.25">
      <c r="A80" s="686"/>
      <c r="B80" s="285"/>
      <c r="C80" s="286" t="s">
        <v>213</v>
      </c>
      <c r="D80" s="287">
        <v>0.15</v>
      </c>
      <c r="E80" s="289"/>
      <c r="F80" s="289"/>
      <c r="G80" s="167">
        <f>-$E$69*$D$80</f>
        <v>0</v>
      </c>
      <c r="H80" s="167">
        <f>-$F$69*$D$80</f>
        <v>0</v>
      </c>
      <c r="I80" s="167">
        <f>-$G$69*$D$80</f>
        <v>0</v>
      </c>
      <c r="J80" s="710">
        <f>-$H$69*$D$80</f>
        <v>0</v>
      </c>
      <c r="K80" s="323"/>
      <c r="L80" s="323"/>
      <c r="M80" s="323"/>
      <c r="N80" s="323"/>
      <c r="O80" s="323"/>
      <c r="P80" s="682"/>
    </row>
    <row r="81" spans="1:16" ht="32.25" customHeight="1" x14ac:dyDescent="0.25">
      <c r="A81" s="686"/>
      <c r="B81" s="285" t="s">
        <v>41</v>
      </c>
      <c r="C81" s="286" t="s">
        <v>59</v>
      </c>
      <c r="D81" s="287">
        <v>0.1</v>
      </c>
      <c r="E81" s="419" t="s">
        <v>17</v>
      </c>
      <c r="F81" s="213">
        <f>IF(E81="nei",0,D81)</f>
        <v>0</v>
      </c>
      <c r="G81" s="167">
        <f>E69*$F$81</f>
        <v>0</v>
      </c>
      <c r="H81" s="167">
        <f>F69*$F$81</f>
        <v>0</v>
      </c>
      <c r="I81" s="167">
        <f>G69*$F$81</f>
        <v>0</v>
      </c>
      <c r="J81" s="710">
        <f>H69*$F$81</f>
        <v>0</v>
      </c>
      <c r="K81" s="323"/>
      <c r="L81" s="323"/>
      <c r="M81" s="323"/>
      <c r="N81" s="323"/>
      <c r="O81" s="323"/>
      <c r="P81" s="682"/>
    </row>
    <row r="82" spans="1:16" ht="33.75" customHeight="1" x14ac:dyDescent="0.25">
      <c r="A82" s="686"/>
      <c r="B82" s="285" t="s">
        <v>42</v>
      </c>
      <c r="C82" s="286" t="s">
        <v>27</v>
      </c>
      <c r="D82" s="287">
        <v>0.05</v>
      </c>
      <c r="E82" s="419" t="s">
        <v>17</v>
      </c>
      <c r="F82" s="213">
        <f>IF(E82="nei",0,D82)</f>
        <v>0</v>
      </c>
      <c r="G82" s="167">
        <f>E69*$F$82</f>
        <v>0</v>
      </c>
      <c r="H82" s="167">
        <f>F69*$F$82</f>
        <v>0</v>
      </c>
      <c r="I82" s="167">
        <f>G69*$F$82</f>
        <v>0</v>
      </c>
      <c r="J82" s="710">
        <f>H69*$F$82</f>
        <v>0</v>
      </c>
      <c r="K82" s="323"/>
      <c r="L82" s="323"/>
      <c r="M82" s="323"/>
      <c r="N82" s="323"/>
      <c r="O82" s="323"/>
      <c r="P82" s="682"/>
    </row>
    <row r="83" spans="1:16" ht="71.25" x14ac:dyDescent="0.25">
      <c r="A83" s="686"/>
      <c r="B83" s="285" t="s">
        <v>43</v>
      </c>
      <c r="C83" s="286" t="s">
        <v>400</v>
      </c>
      <c r="D83" s="287">
        <v>0.1</v>
      </c>
      <c r="E83" s="419" t="s">
        <v>17</v>
      </c>
      <c r="F83" s="213">
        <f>IF(E83="nei",0,D83)</f>
        <v>0</v>
      </c>
      <c r="G83" s="167">
        <f>E69*$F$83</f>
        <v>0</v>
      </c>
      <c r="H83" s="167">
        <f>F69*$F$83</f>
        <v>0</v>
      </c>
      <c r="I83" s="167">
        <f>G69*$F$83</f>
        <v>0</v>
      </c>
      <c r="J83" s="710">
        <f>H69*$F$83</f>
        <v>0</v>
      </c>
      <c r="K83" s="323"/>
      <c r="L83" s="323"/>
      <c r="M83" s="323"/>
      <c r="N83" s="323"/>
      <c r="O83" s="323"/>
      <c r="P83" s="682"/>
    </row>
    <row r="84" spans="1:16" ht="27.75" customHeight="1" thickBot="1" x14ac:dyDescent="0.3">
      <c r="A84" s="686"/>
      <c r="B84" s="1039" t="s">
        <v>10</v>
      </c>
      <c r="C84" s="1040"/>
      <c r="D84" s="297"/>
      <c r="E84" s="297"/>
      <c r="F84" s="298"/>
      <c r="G84" s="299">
        <f>IF(SUM(G80:G83)&gt;0,"0.00",SUM(G80:G83))</f>
        <v>0</v>
      </c>
      <c r="H84" s="299">
        <f>IF(SUM(H80:H83)&gt;0,"0.00",SUM(H80:H83))</f>
        <v>0</v>
      </c>
      <c r="I84" s="299">
        <f>IF(SUM(I80:I83)&gt;0,"0.00",SUM(I80:I83))</f>
        <v>0</v>
      </c>
      <c r="J84" s="714">
        <f>IF(SUM(J80:J83)&gt;0,"0.00",SUM(J80:J83))</f>
        <v>0</v>
      </c>
      <c r="K84" s="323"/>
      <c r="L84" s="323"/>
      <c r="M84" s="323"/>
      <c r="N84" s="323"/>
      <c r="O84" s="323"/>
      <c r="P84" s="682"/>
    </row>
    <row r="85" spans="1:16" ht="15.75" thickBot="1" x14ac:dyDescent="0.3">
      <c r="A85" s="686"/>
      <c r="B85" s="300"/>
      <c r="C85" s="311"/>
      <c r="D85" s="311"/>
      <c r="E85" s="311"/>
      <c r="F85" s="311"/>
      <c r="G85" s="301"/>
      <c r="H85" s="301"/>
      <c r="I85" s="528"/>
      <c r="J85" s="322"/>
      <c r="K85" s="323"/>
      <c r="L85" s="323"/>
      <c r="M85" s="323"/>
      <c r="N85" s="323"/>
      <c r="O85" s="323"/>
      <c r="P85" s="682"/>
    </row>
    <row r="86" spans="1:16" ht="60" x14ac:dyDescent="0.25">
      <c r="A86" s="686"/>
      <c r="B86" s="314" t="s">
        <v>44</v>
      </c>
      <c r="C86" s="318" t="s">
        <v>14</v>
      </c>
      <c r="D86" s="316" t="s">
        <v>12</v>
      </c>
      <c r="E86" s="316" t="s">
        <v>2</v>
      </c>
      <c r="F86" s="316" t="str">
        <f>F73</f>
        <v>Reduksjon i fratrekk</v>
      </c>
      <c r="G86" s="317" t="s">
        <v>97</v>
      </c>
      <c r="H86" s="317" t="s">
        <v>98</v>
      </c>
      <c r="I86" s="712" t="s">
        <v>163</v>
      </c>
      <c r="J86" s="223" t="s">
        <v>171</v>
      </c>
      <c r="K86" s="323"/>
      <c r="L86" s="323"/>
      <c r="M86" s="323"/>
      <c r="N86" s="323"/>
      <c r="O86" s="323"/>
      <c r="P86" s="682"/>
    </row>
    <row r="87" spans="1:16" ht="29.25" x14ac:dyDescent="0.25">
      <c r="A87" s="686"/>
      <c r="B87" s="285"/>
      <c r="C87" s="286" t="s">
        <v>213</v>
      </c>
      <c r="D87" s="287">
        <v>0.1</v>
      </c>
      <c r="E87" s="287"/>
      <c r="F87" s="287"/>
      <c r="G87" s="167">
        <f>-$E$69*$D$87</f>
        <v>0</v>
      </c>
      <c r="H87" s="167">
        <f>-$F$69*$D$87</f>
        <v>0</v>
      </c>
      <c r="I87" s="167">
        <f>-$G$69*$D$87</f>
        <v>0</v>
      </c>
      <c r="J87" s="710">
        <f>-$H$69*$D$87</f>
        <v>0</v>
      </c>
      <c r="K87" s="323"/>
      <c r="L87" s="323"/>
      <c r="M87" s="323"/>
      <c r="N87" s="323"/>
      <c r="O87" s="323"/>
      <c r="P87" s="682"/>
    </row>
    <row r="88" spans="1:16" ht="33.75" customHeight="1" x14ac:dyDescent="0.25">
      <c r="A88" s="686"/>
      <c r="B88" s="285" t="s">
        <v>45</v>
      </c>
      <c r="C88" s="286" t="s">
        <v>402</v>
      </c>
      <c r="D88" s="287">
        <v>0.05</v>
      </c>
      <c r="E88" s="419" t="s">
        <v>17</v>
      </c>
      <c r="F88" s="213">
        <f>IF(E88="nei",0,D88)</f>
        <v>0</v>
      </c>
      <c r="G88" s="167">
        <f>E69*$F$88</f>
        <v>0</v>
      </c>
      <c r="H88" s="167">
        <f>F69*$F$88</f>
        <v>0</v>
      </c>
      <c r="I88" s="167">
        <f>G69*$F$88</f>
        <v>0</v>
      </c>
      <c r="J88" s="710">
        <f>H69*$F$88</f>
        <v>0</v>
      </c>
      <c r="K88" s="323"/>
      <c r="L88" s="323"/>
      <c r="M88" s="323"/>
      <c r="N88" s="323"/>
      <c r="O88" s="323"/>
      <c r="P88" s="682"/>
    </row>
    <row r="89" spans="1:16" ht="32.25" customHeight="1" x14ac:dyDescent="0.25">
      <c r="A89" s="686"/>
      <c r="B89" s="285" t="s">
        <v>46</v>
      </c>
      <c r="C89" s="286" t="s">
        <v>258</v>
      </c>
      <c r="D89" s="287">
        <v>0.05</v>
      </c>
      <c r="E89" s="419" t="s">
        <v>17</v>
      </c>
      <c r="F89" s="213">
        <f>IF(E89="nei",0,D89)</f>
        <v>0</v>
      </c>
      <c r="G89" s="167">
        <f>E69*$F$89</f>
        <v>0</v>
      </c>
      <c r="H89" s="167">
        <f>F69*$F$89</f>
        <v>0</v>
      </c>
      <c r="I89" s="167">
        <f>G69*$F$89</f>
        <v>0</v>
      </c>
      <c r="J89" s="710">
        <f>H69*$F$89</f>
        <v>0</v>
      </c>
      <c r="K89" s="323"/>
      <c r="L89" s="323"/>
      <c r="M89" s="323"/>
      <c r="N89" s="323"/>
      <c r="O89" s="323"/>
      <c r="P89" s="682"/>
    </row>
    <row r="90" spans="1:16" ht="45.75" customHeight="1" x14ac:dyDescent="0.25">
      <c r="A90" s="686"/>
      <c r="B90" s="285" t="s">
        <v>47</v>
      </c>
      <c r="C90" s="286" t="s">
        <v>403</v>
      </c>
      <c r="D90" s="287">
        <v>0.05</v>
      </c>
      <c r="E90" s="419" t="s">
        <v>17</v>
      </c>
      <c r="F90" s="213">
        <f>IF(E90="nei",0,D90)</f>
        <v>0</v>
      </c>
      <c r="G90" s="167">
        <f>E69*$F$90</f>
        <v>0</v>
      </c>
      <c r="H90" s="167">
        <f>F69*$F$90</f>
        <v>0</v>
      </c>
      <c r="I90" s="167">
        <f>G69*$F$90</f>
        <v>0</v>
      </c>
      <c r="J90" s="710">
        <f>H69*$F$90</f>
        <v>0</v>
      </c>
      <c r="K90" s="323"/>
      <c r="L90" s="323"/>
      <c r="M90" s="323"/>
      <c r="N90" s="323"/>
      <c r="O90" s="323"/>
      <c r="P90" s="682"/>
    </row>
    <row r="91" spans="1:16" ht="29.25" customHeight="1" thickBot="1" x14ac:dyDescent="0.3">
      <c r="A91" s="686"/>
      <c r="B91" s="1041" t="s">
        <v>11</v>
      </c>
      <c r="C91" s="1042"/>
      <c r="D91" s="302"/>
      <c r="E91" s="302"/>
      <c r="F91" s="303"/>
      <c r="G91" s="294">
        <f>IF(SUM(G87:G90)&gt;0,"0.00",SUM(G87:G90))</f>
        <v>0</v>
      </c>
      <c r="H91" s="294">
        <f>IF(SUM(H87:H90)&gt;0,"0.00",SUM(H87:H90))</f>
        <v>0</v>
      </c>
      <c r="I91" s="294">
        <f>IF(SUM(I87:I90)&gt;0,"0.00",SUM(I87:I90))</f>
        <v>0</v>
      </c>
      <c r="J91" s="295">
        <f>IF(SUM(J87:J90)&gt;0,"0.00",SUM(J87:J90))</f>
        <v>0</v>
      </c>
      <c r="K91" s="323"/>
      <c r="L91" s="323"/>
      <c r="M91" s="323"/>
      <c r="N91" s="323"/>
      <c r="O91" s="323"/>
      <c r="P91" s="682"/>
    </row>
    <row r="92" spans="1:16" ht="15.75" thickBot="1" x14ac:dyDescent="0.3">
      <c r="A92" s="686"/>
      <c r="B92" s="212"/>
      <c r="C92" s="212"/>
      <c r="D92" s="212"/>
      <c r="E92" s="212"/>
      <c r="F92" s="212"/>
      <c r="G92" s="212"/>
      <c r="H92" s="212"/>
      <c r="I92" s="212"/>
      <c r="J92" s="322"/>
      <c r="K92" s="323"/>
      <c r="L92" s="323"/>
      <c r="M92" s="323"/>
      <c r="N92" s="323"/>
      <c r="O92" s="323"/>
      <c r="P92" s="682"/>
    </row>
    <row r="93" spans="1:16" ht="35.25" customHeight="1" x14ac:dyDescent="0.25">
      <c r="A93" s="686"/>
      <c r="B93" s="1029" t="s">
        <v>396</v>
      </c>
      <c r="C93" s="1030"/>
      <c r="D93" s="1030"/>
      <c r="E93" s="1030"/>
      <c r="F93" s="1030"/>
      <c r="G93" s="317" t="s">
        <v>97</v>
      </c>
      <c r="H93" s="317" t="s">
        <v>98</v>
      </c>
      <c r="I93" s="711" t="s">
        <v>163</v>
      </c>
      <c r="J93" s="223" t="s">
        <v>171</v>
      </c>
      <c r="K93" s="323"/>
      <c r="L93" s="323"/>
      <c r="M93" s="323"/>
      <c r="N93" s="323"/>
      <c r="O93" s="323"/>
      <c r="P93" s="682"/>
    </row>
    <row r="94" spans="1:16" ht="23.25" customHeight="1" x14ac:dyDescent="0.25">
      <c r="A94" s="686"/>
      <c r="B94" s="1053" t="s">
        <v>343</v>
      </c>
      <c r="C94" s="1054"/>
      <c r="D94" s="1054"/>
      <c r="E94" s="1054"/>
      <c r="F94" s="1055"/>
      <c r="G94" s="453">
        <f>E69</f>
        <v>0</v>
      </c>
      <c r="H94" s="529">
        <f>F69</f>
        <v>0</v>
      </c>
      <c r="I94" s="453">
        <f>G69</f>
        <v>0</v>
      </c>
      <c r="J94" s="520">
        <f>H69</f>
        <v>0</v>
      </c>
      <c r="K94" s="323"/>
      <c r="L94" s="323"/>
      <c r="M94" s="323"/>
      <c r="N94" s="323"/>
      <c r="O94" s="323"/>
      <c r="P94" s="682"/>
    </row>
    <row r="95" spans="1:16" ht="25.5" customHeight="1" x14ac:dyDescent="0.25">
      <c r="A95" s="686"/>
      <c r="B95" s="1025" t="s">
        <v>344</v>
      </c>
      <c r="C95" s="1026"/>
      <c r="D95" s="1026"/>
      <c r="E95" s="1026"/>
      <c r="F95" s="1026"/>
      <c r="G95" s="453">
        <f>SUM(G77,G84,G91)</f>
        <v>0</v>
      </c>
      <c r="H95" s="453">
        <f>SUM(H77,H84,H91)</f>
        <v>0</v>
      </c>
      <c r="I95" s="453">
        <f>SUM(I77,I84,I91)</f>
        <v>0</v>
      </c>
      <c r="J95" s="713">
        <f>SUM(J77,J84,J91)</f>
        <v>0</v>
      </c>
      <c r="K95" s="323"/>
      <c r="L95" s="323"/>
      <c r="M95" s="323"/>
      <c r="N95" s="323"/>
      <c r="O95" s="323"/>
      <c r="P95" s="682"/>
    </row>
    <row r="96" spans="1:16" ht="50.25" customHeight="1" thickBot="1" x14ac:dyDescent="0.3">
      <c r="A96" s="686"/>
      <c r="B96" s="1027" t="s">
        <v>397</v>
      </c>
      <c r="C96" s="1028"/>
      <c r="D96" s="1028"/>
      <c r="E96" s="1028"/>
      <c r="F96" s="1028"/>
      <c r="G96" s="149">
        <f>G94+G95</f>
        <v>0</v>
      </c>
      <c r="H96" s="530">
        <f t="shared" ref="H96:I96" si="1">H94+H95</f>
        <v>0</v>
      </c>
      <c r="I96" s="149">
        <f t="shared" si="1"/>
        <v>0</v>
      </c>
      <c r="J96" s="521">
        <f t="shared" ref="J96" si="2">J94+J95</f>
        <v>0</v>
      </c>
      <c r="K96" s="323"/>
      <c r="L96" s="323"/>
      <c r="M96" s="323"/>
      <c r="N96" s="323"/>
      <c r="O96" s="323"/>
      <c r="P96" s="682"/>
    </row>
    <row r="97" spans="1:16" x14ac:dyDescent="0.25">
      <c r="A97" s="686"/>
      <c r="B97" s="323"/>
      <c r="C97" s="323"/>
      <c r="D97" s="323"/>
      <c r="E97" s="323"/>
      <c r="F97" s="323"/>
      <c r="G97" s="323"/>
      <c r="H97" s="323"/>
      <c r="I97" s="323"/>
      <c r="J97" s="323"/>
      <c r="K97" s="323"/>
      <c r="L97" s="323"/>
      <c r="M97" s="323"/>
      <c r="N97" s="323"/>
      <c r="O97" s="323"/>
      <c r="P97" s="682"/>
    </row>
    <row r="98" spans="1:16" x14ac:dyDescent="0.25">
      <c r="A98" s="689"/>
      <c r="B98" s="690"/>
      <c r="C98" s="690"/>
      <c r="D98" s="690"/>
      <c r="E98" s="690"/>
      <c r="F98" s="690"/>
      <c r="G98" s="690"/>
      <c r="H98" s="690"/>
      <c r="I98" s="690"/>
      <c r="J98" s="690"/>
      <c r="K98" s="690"/>
      <c r="L98" s="690"/>
      <c r="M98" s="690"/>
      <c r="N98" s="690"/>
      <c r="O98" s="690"/>
      <c r="P98" s="691"/>
    </row>
  </sheetData>
  <sheetProtection algorithmName="SHA-512" hashValue="iCdN5g21mFmGTt4gjWniDQZTBogxSGRzBJfeh5vnitXqbnbV1XY8ugtGgy/pu9hSmbfb021Fw0KDe6bzYDJoxg==" saltValue="AvUe+GJsMkSnQAsCTTAqUQ==" spinCount="100000" sheet="1" objects="1" scenarios="1"/>
  <protectedRanges>
    <protectedRange sqref="E57:G57" name="Range1"/>
  </protectedRanges>
  <mergeCells count="83">
    <mergeCell ref="C14:G14"/>
    <mergeCell ref="C12:G12"/>
    <mergeCell ref="C2:D2"/>
    <mergeCell ref="E2:I2"/>
    <mergeCell ref="C3:D3"/>
    <mergeCell ref="E3:I3"/>
    <mergeCell ref="C5:I5"/>
    <mergeCell ref="C7:E8"/>
    <mergeCell ref="C9:E9"/>
    <mergeCell ref="C10:D10"/>
    <mergeCell ref="C11:I11"/>
    <mergeCell ref="C13:G13"/>
    <mergeCell ref="C25:K25"/>
    <mergeCell ref="C26:C29"/>
    <mergeCell ref="D26:E27"/>
    <mergeCell ref="F26:G27"/>
    <mergeCell ref="H26:I26"/>
    <mergeCell ref="J26:K26"/>
    <mergeCell ref="H27:I27"/>
    <mergeCell ref="L35:M35"/>
    <mergeCell ref="N35:O35"/>
    <mergeCell ref="J27:K27"/>
    <mergeCell ref="D28:E28"/>
    <mergeCell ref="F28:G28"/>
    <mergeCell ref="H28:I28"/>
    <mergeCell ref="J28:K28"/>
    <mergeCell ref="C31:K31"/>
    <mergeCell ref="C33:C35"/>
    <mergeCell ref="D33:D35"/>
    <mergeCell ref="E33:F34"/>
    <mergeCell ref="G33:I35"/>
    <mergeCell ref="J33:O33"/>
    <mergeCell ref="J34:O34"/>
    <mergeCell ref="J35:K35"/>
    <mergeCell ref="C50:E50"/>
    <mergeCell ref="F50:G50"/>
    <mergeCell ref="G36:I36"/>
    <mergeCell ref="G37:I37"/>
    <mergeCell ref="G38:I38"/>
    <mergeCell ref="G39:I39"/>
    <mergeCell ref="G40:I40"/>
    <mergeCell ref="G41:I41"/>
    <mergeCell ref="G42:I42"/>
    <mergeCell ref="G43:I43"/>
    <mergeCell ref="C46:I46"/>
    <mergeCell ref="C48:G48"/>
    <mergeCell ref="C49:E49"/>
    <mergeCell ref="F49:G49"/>
    <mergeCell ref="G44:I44"/>
    <mergeCell ref="G45:I45"/>
    <mergeCell ref="C69:D69"/>
    <mergeCell ref="C54:E54"/>
    <mergeCell ref="F54:G54"/>
    <mergeCell ref="C56:G56"/>
    <mergeCell ref="C57:D57"/>
    <mergeCell ref="E57:G57"/>
    <mergeCell ref="F62:G62"/>
    <mergeCell ref="C68:D68"/>
    <mergeCell ref="C66:D66"/>
    <mergeCell ref="C67:D67"/>
    <mergeCell ref="C65:H65"/>
    <mergeCell ref="C51:E51"/>
    <mergeCell ref="F51:G51"/>
    <mergeCell ref="C52:E52"/>
    <mergeCell ref="F52:G52"/>
    <mergeCell ref="C53:E53"/>
    <mergeCell ref="F53:G53"/>
    <mergeCell ref="C15:G15"/>
    <mergeCell ref="C20:D20"/>
    <mergeCell ref="C23:D23"/>
    <mergeCell ref="C21:D21"/>
    <mergeCell ref="C22:D22"/>
    <mergeCell ref="C16:G16"/>
    <mergeCell ref="C18:G18"/>
    <mergeCell ref="C17:G17"/>
    <mergeCell ref="B71:J71"/>
    <mergeCell ref="B94:F94"/>
    <mergeCell ref="B95:F95"/>
    <mergeCell ref="B96:F96"/>
    <mergeCell ref="B77:C77"/>
    <mergeCell ref="B84:C84"/>
    <mergeCell ref="B91:C91"/>
    <mergeCell ref="B93:F93"/>
  </mergeCells>
  <conditionalFormatting sqref="F75:F76 F81:F83 F88:F90">
    <cfRule type="cellIs" dxfId="2" priority="1" operator="greaterThan">
      <formula>0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key!$A$45:$A$47</xm:f>
          </x14:formula1>
          <xm:sqref>E57:G57</xm:sqref>
        </x14:dataValidation>
        <x14:dataValidation type="list" allowBlank="1" showInputMessage="1" showErrorMessage="1">
          <x14:formula1>
            <xm:f>key!$A$40:$A$42</xm:f>
          </x14:formula1>
          <xm:sqref>C9:E9</xm:sqref>
        </x14:dataValidation>
        <x14:dataValidation type="list" allowBlank="1" showInputMessage="1" showErrorMessage="1">
          <x14:formula1>
            <xm:f>key!$A$2</xm:f>
          </x14:formula1>
          <xm:sqref>J36:J45 L36:L45 N36:N45 D36:D45</xm:sqref>
        </x14:dataValidation>
        <x14:dataValidation type="list" allowBlank="1" showInputMessage="1" showErrorMessage="1">
          <x14:formula1>
            <xm:f>key!$A$2:$A$3</xm:f>
          </x14:formula1>
          <xm:sqref>E75:E76 E88:E90 E81:E83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tabColor theme="6" tint="-0.499984740745262"/>
    <pageSetUpPr fitToPage="1"/>
  </sheetPr>
  <dimension ref="A1:K26"/>
  <sheetViews>
    <sheetView tabSelected="1" zoomScaleNormal="100" zoomScalePageLayoutView="110" workbookViewId="0">
      <selection activeCell="H12" sqref="H12"/>
    </sheetView>
  </sheetViews>
  <sheetFormatPr baseColWidth="10" defaultColWidth="11.42578125" defaultRowHeight="15" x14ac:dyDescent="0.25"/>
  <cols>
    <col min="1" max="1" width="3.140625" style="1" customWidth="1"/>
    <col min="2" max="2" width="47.5703125" style="1" customWidth="1"/>
    <col min="3" max="3" width="10.28515625" style="37" customWidth="1"/>
    <col min="4" max="4" width="30.140625" style="1" customWidth="1"/>
    <col min="5" max="8" width="13.7109375" style="1" customWidth="1"/>
    <col min="9" max="9" width="67" style="1" customWidth="1"/>
    <col min="10" max="10" width="12" style="1" customWidth="1"/>
    <col min="11" max="16384" width="11.42578125" style="1"/>
  </cols>
  <sheetData>
    <row r="1" spans="1:11" ht="15" customHeight="1" x14ac:dyDescent="0.25">
      <c r="A1" s="619"/>
      <c r="B1" s="620"/>
      <c r="C1" s="620"/>
      <c r="D1" s="620"/>
      <c r="E1" s="620"/>
      <c r="F1" s="620"/>
      <c r="G1" s="620"/>
      <c r="H1" s="620"/>
      <c r="I1" s="620"/>
      <c r="J1" s="638"/>
    </row>
    <row r="2" spans="1:11" ht="27.75" x14ac:dyDescent="0.25">
      <c r="A2" s="574"/>
      <c r="B2" s="697" t="s">
        <v>453</v>
      </c>
      <c r="C2" s="322"/>
      <c r="D2" s="322"/>
      <c r="E2" s="322"/>
      <c r="F2" s="322"/>
      <c r="G2" s="322"/>
      <c r="H2" s="322"/>
      <c r="I2" s="322"/>
      <c r="J2" s="624"/>
    </row>
    <row r="3" spans="1:11" ht="18.75" customHeight="1" thickBot="1" x14ac:dyDescent="0.3">
      <c r="A3" s="574"/>
      <c r="B3" s="322"/>
      <c r="C3" s="322"/>
      <c r="D3" s="322"/>
      <c r="E3" s="322"/>
      <c r="F3" s="322"/>
      <c r="G3" s="322"/>
      <c r="H3" s="322"/>
      <c r="I3" s="322"/>
      <c r="J3" s="624"/>
    </row>
    <row r="4" spans="1:11" ht="29.25" customHeight="1" x14ac:dyDescent="0.25">
      <c r="A4" s="574"/>
      <c r="B4" s="377" t="s">
        <v>190</v>
      </c>
      <c r="C4" s="1149" t="str">
        <f>Start!E6</f>
        <v>BB</v>
      </c>
      <c r="D4" s="1150"/>
      <c r="E4" s="379"/>
      <c r="F4" s="379"/>
      <c r="G4" s="379"/>
      <c r="H4" s="379"/>
      <c r="I4" s="379"/>
      <c r="J4" s="624"/>
    </row>
    <row r="5" spans="1:11" ht="30.75" customHeight="1" thickBot="1" x14ac:dyDescent="0.3">
      <c r="A5" s="574"/>
      <c r="B5" s="378" t="s">
        <v>191</v>
      </c>
      <c r="C5" s="1151" t="str">
        <f>Start!E7</f>
        <v>VV</v>
      </c>
      <c r="D5" s="1152"/>
      <c r="E5" s="379"/>
      <c r="F5" s="379"/>
      <c r="G5" s="379"/>
      <c r="H5" s="379"/>
      <c r="I5" s="379"/>
      <c r="J5" s="624"/>
    </row>
    <row r="6" spans="1:11" ht="30.75" customHeight="1" thickBot="1" x14ac:dyDescent="0.3">
      <c r="A6" s="574"/>
      <c r="B6" s="705"/>
      <c r="C6" s="322"/>
      <c r="D6" s="706"/>
      <c r="E6" s="379"/>
      <c r="F6" s="379"/>
      <c r="G6" s="379"/>
      <c r="H6" s="379"/>
      <c r="I6" s="379"/>
      <c r="J6" s="624"/>
    </row>
    <row r="7" spans="1:11" ht="30.95" customHeight="1" x14ac:dyDescent="0.25">
      <c r="A7" s="574"/>
      <c r="B7" s="1165" t="s">
        <v>451</v>
      </c>
      <c r="C7" s="1166"/>
      <c r="D7" s="1167"/>
      <c r="E7" s="1163" t="s">
        <v>97</v>
      </c>
      <c r="F7" s="1163" t="s">
        <v>98</v>
      </c>
      <c r="G7" s="1161" t="s">
        <v>99</v>
      </c>
      <c r="H7" s="1162"/>
      <c r="I7" s="707"/>
      <c r="J7" s="624"/>
    </row>
    <row r="8" spans="1:11" ht="51.95" customHeight="1" thickBot="1" x14ac:dyDescent="0.3">
      <c r="A8" s="574"/>
      <c r="B8" s="1168"/>
      <c r="C8" s="1169"/>
      <c r="D8" s="1170"/>
      <c r="E8" s="1164"/>
      <c r="F8" s="1164"/>
      <c r="G8" s="709" t="s">
        <v>163</v>
      </c>
      <c r="H8" s="591" t="s">
        <v>171</v>
      </c>
      <c r="I8" s="708"/>
      <c r="J8" s="624"/>
    </row>
    <row r="9" spans="1:11" ht="30" customHeight="1" x14ac:dyDescent="0.25">
      <c r="A9" s="574"/>
      <c r="B9" s="698" t="s">
        <v>101</v>
      </c>
      <c r="C9" s="699" t="s">
        <v>37</v>
      </c>
      <c r="D9" s="700"/>
      <c r="E9" s="704">
        <f>Start!$B$20</f>
        <v>0</v>
      </c>
      <c r="F9" s="704">
        <f>Start!$C$20</f>
        <v>0</v>
      </c>
      <c r="G9" s="704">
        <f>Start!$F$20</f>
        <v>0</v>
      </c>
      <c r="H9" s="704">
        <f>Start!$F$20</f>
        <v>0</v>
      </c>
      <c r="I9" s="701" t="s">
        <v>280</v>
      </c>
      <c r="J9" s="624"/>
    </row>
    <row r="10" spans="1:11" ht="30" customHeight="1" x14ac:dyDescent="0.25">
      <c r="A10" s="574"/>
      <c r="B10" s="1157" t="s">
        <v>272</v>
      </c>
      <c r="C10" s="1158" t="s">
        <v>40</v>
      </c>
      <c r="D10" s="380" t="s">
        <v>273</v>
      </c>
      <c r="E10" s="382">
        <f>Innsjø!I24</f>
        <v>0</v>
      </c>
      <c r="F10" s="382">
        <f>Innsjø!J24</f>
        <v>0</v>
      </c>
      <c r="G10" s="382">
        <f>Innsjø!K24</f>
        <v>0</v>
      </c>
      <c r="H10" s="382">
        <f>Innsjø!K24</f>
        <v>0</v>
      </c>
      <c r="I10" s="381" t="s">
        <v>315</v>
      </c>
      <c r="J10" s="624"/>
      <c r="K10" s="497"/>
    </row>
    <row r="11" spans="1:11" ht="30" customHeight="1" x14ac:dyDescent="0.25">
      <c r="A11" s="574"/>
      <c r="B11" s="1157"/>
      <c r="C11" s="1160"/>
      <c r="D11" s="380" t="s">
        <v>274</v>
      </c>
      <c r="E11" s="382">
        <f>Grunnvann!I26</f>
        <v>0</v>
      </c>
      <c r="F11" s="382">
        <f>Grunnvann!J26</f>
        <v>0</v>
      </c>
      <c r="G11" s="382">
        <f>Grunnvann!K26</f>
        <v>0</v>
      </c>
      <c r="H11" s="382">
        <f>Grunnvann!K26</f>
        <v>0</v>
      </c>
      <c r="I11" s="381" t="s">
        <v>279</v>
      </c>
      <c r="J11" s="624"/>
    </row>
    <row r="12" spans="1:11" ht="30" customHeight="1" x14ac:dyDescent="0.25">
      <c r="A12" s="574"/>
      <c r="B12" s="1157"/>
      <c r="C12" s="1159"/>
      <c r="D12" s="380" t="s">
        <v>452</v>
      </c>
      <c r="E12" s="382">
        <f>Infiltrasjon!J13</f>
        <v>0</v>
      </c>
      <c r="F12" s="382">
        <f>Infiltrasjon!K13</f>
        <v>0</v>
      </c>
      <c r="G12" s="382">
        <f>Infiltrasjon!L13</f>
        <v>0</v>
      </c>
      <c r="H12" s="382">
        <f>Infiltrasjon!L13</f>
        <v>0</v>
      </c>
      <c r="I12" s="381" t="s">
        <v>443</v>
      </c>
      <c r="J12" s="624"/>
    </row>
    <row r="13" spans="1:11" ht="30" customHeight="1" x14ac:dyDescent="0.25">
      <c r="A13" s="574"/>
      <c r="B13" s="1157"/>
      <c r="C13" s="1158" t="s">
        <v>44</v>
      </c>
      <c r="D13" s="380" t="s">
        <v>449</v>
      </c>
      <c r="E13" s="383">
        <f>'VB utover desinf. (prosess 1) '!I31</f>
        <v>0</v>
      </c>
      <c r="F13" s="383">
        <f>'VB utover desinf. (prosess 1) '!J31</f>
        <v>0</v>
      </c>
      <c r="G13" s="383">
        <f>'VB utover desinf. (prosess 1) '!K31</f>
        <v>0</v>
      </c>
      <c r="H13" s="383">
        <f>'VB utover desinf. (prosess 1) '!K31</f>
        <v>0</v>
      </c>
      <c r="I13" s="381" t="s">
        <v>422</v>
      </c>
      <c r="J13" s="692"/>
    </row>
    <row r="14" spans="1:11" ht="30" customHeight="1" x14ac:dyDescent="0.25">
      <c r="A14" s="574"/>
      <c r="B14" s="1157"/>
      <c r="C14" s="1159"/>
      <c r="D14" s="380" t="s">
        <v>450</v>
      </c>
      <c r="E14" s="509">
        <f>'VB utover desinf. (prosess 2) '!I33</f>
        <v>0</v>
      </c>
      <c r="F14" s="509">
        <f>'VB utover desinf. (prosess 2) '!J33</f>
        <v>0</v>
      </c>
      <c r="G14" s="509">
        <f>'VB utover desinf. (prosess 2) '!K33</f>
        <v>0</v>
      </c>
      <c r="H14" s="535">
        <f>'VB utover desinf. (prosess 2) '!K33</f>
        <v>0</v>
      </c>
      <c r="I14" s="381" t="s">
        <v>423</v>
      </c>
      <c r="J14" s="624"/>
    </row>
    <row r="15" spans="1:11" ht="30" customHeight="1" x14ac:dyDescent="0.25">
      <c r="A15" s="574"/>
      <c r="B15" s="384" t="s">
        <v>172</v>
      </c>
      <c r="C15" s="385" t="s">
        <v>50</v>
      </c>
      <c r="D15" s="380" t="s">
        <v>313</v>
      </c>
      <c r="E15" s="386">
        <f>E9-E10-E11-E12-E13-E14</f>
        <v>0</v>
      </c>
      <c r="F15" s="386">
        <f>F9-F10-F11-F12-F13-F14</f>
        <v>0</v>
      </c>
      <c r="G15" s="386">
        <f>G9-G10-G11-G12-G13-G14</f>
        <v>0</v>
      </c>
      <c r="H15" s="386">
        <f>H9-H10-H11-H12-H13-H14</f>
        <v>0</v>
      </c>
      <c r="I15" s="381"/>
      <c r="J15" s="624"/>
      <c r="K15" s="508"/>
    </row>
    <row r="16" spans="1:11" ht="30" customHeight="1" x14ac:dyDescent="0.25">
      <c r="A16" s="574"/>
      <c r="B16" s="1155" t="s">
        <v>275</v>
      </c>
      <c r="C16" s="1153" t="s">
        <v>100</v>
      </c>
      <c r="D16" s="380" t="s">
        <v>428</v>
      </c>
      <c r="E16" s="387">
        <f>UV!K58</f>
        <v>0</v>
      </c>
      <c r="F16" s="387">
        <f>UV!L58</f>
        <v>0</v>
      </c>
      <c r="G16" s="387">
        <f>UV!M58</f>
        <v>0</v>
      </c>
      <c r="H16" s="387">
        <f>UV!M58</f>
        <v>0</v>
      </c>
      <c r="I16" s="381" t="s">
        <v>281</v>
      </c>
      <c r="J16" s="693"/>
      <c r="K16" s="59"/>
    </row>
    <row r="17" spans="1:11" ht="30" customHeight="1" x14ac:dyDescent="0.25">
      <c r="A17" s="574"/>
      <c r="B17" s="1155"/>
      <c r="C17" s="1153"/>
      <c r="D17" s="380" t="s">
        <v>276</v>
      </c>
      <c r="E17" s="387">
        <f>Klor!G89</f>
        <v>0</v>
      </c>
      <c r="F17" s="387">
        <f>Klor!H89</f>
        <v>0</v>
      </c>
      <c r="G17" s="387">
        <f>Klor!I89</f>
        <v>0</v>
      </c>
      <c r="H17" s="387">
        <f>Klor!J89</f>
        <v>0</v>
      </c>
      <c r="I17" s="381" t="s">
        <v>282</v>
      </c>
      <c r="J17" s="693"/>
      <c r="K17" s="59"/>
    </row>
    <row r="18" spans="1:11" ht="30" customHeight="1" x14ac:dyDescent="0.25">
      <c r="A18" s="574"/>
      <c r="B18" s="1155"/>
      <c r="C18" s="1153"/>
      <c r="D18" s="380" t="s">
        <v>277</v>
      </c>
      <c r="E18" s="387">
        <v>0</v>
      </c>
      <c r="F18" s="387">
        <f>Klordioksid!H86</f>
        <v>0</v>
      </c>
      <c r="G18" s="387">
        <f>Klordioksid!I86</f>
        <v>0</v>
      </c>
      <c r="H18" s="387">
        <f>Klordioksid!J86</f>
        <v>0</v>
      </c>
      <c r="I18" s="381" t="s">
        <v>283</v>
      </c>
      <c r="J18" s="693"/>
      <c r="K18" s="59"/>
    </row>
    <row r="19" spans="1:11" ht="30" customHeight="1" thickBot="1" x14ac:dyDescent="0.3">
      <c r="A19" s="574"/>
      <c r="B19" s="1156"/>
      <c r="C19" s="1154"/>
      <c r="D19" s="388" t="s">
        <v>278</v>
      </c>
      <c r="E19" s="389">
        <f>Ozon!G96</f>
        <v>0</v>
      </c>
      <c r="F19" s="389">
        <f>Ozon!H96</f>
        <v>0</v>
      </c>
      <c r="G19" s="389">
        <f>Ozon!I96</f>
        <v>0</v>
      </c>
      <c r="H19" s="389">
        <f>Ozon!J96</f>
        <v>0</v>
      </c>
      <c r="I19" s="390" t="s">
        <v>284</v>
      </c>
      <c r="J19" s="693"/>
      <c r="K19" s="59"/>
    </row>
    <row r="20" spans="1:11" ht="46.5" customHeight="1" thickBot="1" x14ac:dyDescent="0.3">
      <c r="A20" s="574"/>
      <c r="B20" s="1171" t="s">
        <v>314</v>
      </c>
      <c r="C20" s="1172"/>
      <c r="D20" s="1173"/>
      <c r="E20" s="549">
        <f>SUM(E16:E19)-E15</f>
        <v>0</v>
      </c>
      <c r="F20" s="549">
        <f>SUM(F16:F19)-F15</f>
        <v>0</v>
      </c>
      <c r="G20" s="549">
        <f>SUM(G16:G19)-G15</f>
        <v>0</v>
      </c>
      <c r="H20" s="549">
        <f>SUM(H16:H19)-H15</f>
        <v>0</v>
      </c>
      <c r="I20" s="703" t="s">
        <v>285</v>
      </c>
      <c r="J20" s="624"/>
      <c r="K20" s="702"/>
    </row>
    <row r="21" spans="1:11" x14ac:dyDescent="0.25">
      <c r="A21" s="574"/>
      <c r="B21" s="322"/>
      <c r="C21" s="664"/>
      <c r="D21" s="322"/>
      <c r="E21" s="323"/>
      <c r="F21" s="323"/>
      <c r="G21" s="323"/>
      <c r="H21" s="323"/>
      <c r="I21" s="322"/>
      <c r="J21" s="624"/>
    </row>
    <row r="22" spans="1:11" x14ac:dyDescent="0.25">
      <c r="A22" s="574"/>
      <c r="B22" s="694"/>
      <c r="C22" s="695"/>
      <c r="D22" s="322"/>
      <c r="E22" s="323"/>
      <c r="F22" s="323"/>
      <c r="G22" s="323"/>
      <c r="H22" s="323"/>
      <c r="I22" s="322"/>
      <c r="J22" s="624"/>
    </row>
    <row r="23" spans="1:11" x14ac:dyDescent="0.25">
      <c r="A23" s="633"/>
      <c r="B23" s="634"/>
      <c r="C23" s="696"/>
      <c r="D23" s="634"/>
      <c r="E23" s="690"/>
      <c r="F23" s="690"/>
      <c r="G23" s="690"/>
      <c r="H23" s="690"/>
      <c r="I23" s="634"/>
      <c r="J23" s="635"/>
    </row>
    <row r="26" spans="1:11" x14ac:dyDescent="0.2">
      <c r="B26" s="60"/>
      <c r="C26" s="88"/>
    </row>
  </sheetData>
  <sheetProtection sheet="1" selectLockedCells="1"/>
  <mergeCells count="12">
    <mergeCell ref="G7:H7"/>
    <mergeCell ref="E7:E8"/>
    <mergeCell ref="F7:F8"/>
    <mergeCell ref="B7:D8"/>
    <mergeCell ref="B20:D20"/>
    <mergeCell ref="C4:D4"/>
    <mergeCell ref="C5:D5"/>
    <mergeCell ref="C16:C19"/>
    <mergeCell ref="B16:B19"/>
    <mergeCell ref="B10:B14"/>
    <mergeCell ref="C13:C14"/>
    <mergeCell ref="C10:C12"/>
  </mergeCells>
  <phoneticPr fontId="4" type="noConversion"/>
  <conditionalFormatting sqref="E20">
    <cfRule type="cellIs" dxfId="1" priority="2" operator="lessThan">
      <formula>0</formula>
    </cfRule>
  </conditionalFormatting>
  <conditionalFormatting sqref="F20:H20">
    <cfRule type="cellIs" dxfId="0" priority="1" operator="lessThan">
      <formula>0</formula>
    </cfRule>
  </conditionalFormatting>
  <pageMargins left="0.78740157480314965" right="0.78740157480314965" top="1.1811023622047245" bottom="0.98425196850393704" header="0.51181102362204722" footer="0.51181102362204722"/>
  <pageSetup paperSize="9" scale="83" orientation="landscape" r:id="rId1"/>
  <headerFooter>
    <oddHeader>&amp;L&amp;"Times New Roman,Halvfet"&amp;16Microbial barrier analysis (MBA)
Operational tool&amp;"Times New Roman,Normal"&amp;11
&amp;C&amp;"Times New Roman,Halvfet"&amp;16&amp;A&amp;R&amp;"Times New Roman,Halvfet"&amp;16Page &amp;P of &amp;N
&amp;D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>
    <pageSetUpPr fitToPage="1"/>
  </sheetPr>
  <dimension ref="B1:E23"/>
  <sheetViews>
    <sheetView workbookViewId="0">
      <selection activeCell="K42" sqref="K42"/>
    </sheetView>
  </sheetViews>
  <sheetFormatPr baseColWidth="10" defaultColWidth="10.7109375" defaultRowHeight="15" x14ac:dyDescent="0.25"/>
  <cols>
    <col min="1" max="1" width="4" style="1" customWidth="1"/>
    <col min="2" max="2" width="57.7109375" style="1" customWidth="1"/>
    <col min="3" max="16384" width="10.7109375" style="1"/>
  </cols>
  <sheetData>
    <row r="1" spans="2:5" ht="15.75" thickBot="1" x14ac:dyDescent="0.3"/>
    <row r="2" spans="2:5" ht="16.5" thickBot="1" x14ac:dyDescent="0.3">
      <c r="B2" s="1174" t="s">
        <v>77</v>
      </c>
      <c r="C2" s="1175"/>
      <c r="D2" s="1175"/>
      <c r="E2" s="1176"/>
    </row>
    <row r="3" spans="2:5" ht="16.5" thickBot="1" x14ac:dyDescent="0.3">
      <c r="B3" s="153" t="s">
        <v>76</v>
      </c>
      <c r="C3" s="36" t="s">
        <v>70</v>
      </c>
      <c r="D3" s="36" t="s">
        <v>69</v>
      </c>
      <c r="E3" s="35" t="s">
        <v>99</v>
      </c>
    </row>
    <row r="4" spans="2:5" x14ac:dyDescent="0.25">
      <c r="B4" s="33" t="s">
        <v>68</v>
      </c>
      <c r="C4" s="21"/>
      <c r="D4" s="20"/>
      <c r="E4" s="19"/>
    </row>
    <row r="5" spans="2:5" x14ac:dyDescent="0.25">
      <c r="B5" s="34" t="s">
        <v>66</v>
      </c>
      <c r="C5" s="12">
        <v>3</v>
      </c>
      <c r="D5" s="11">
        <v>3</v>
      </c>
      <c r="E5" s="10">
        <v>2</v>
      </c>
    </row>
    <row r="6" spans="2:5" x14ac:dyDescent="0.25">
      <c r="B6" s="38" t="s">
        <v>78</v>
      </c>
      <c r="C6" s="39">
        <v>3</v>
      </c>
      <c r="D6" s="40">
        <v>3</v>
      </c>
      <c r="E6" s="41">
        <v>2</v>
      </c>
    </row>
    <row r="7" spans="2:5" ht="15.75" thickBot="1" x14ac:dyDescent="0.3">
      <c r="B7" s="42" t="s">
        <v>28</v>
      </c>
      <c r="C7" s="43">
        <v>1</v>
      </c>
      <c r="D7" s="44">
        <v>1</v>
      </c>
      <c r="E7" s="45">
        <v>0.75</v>
      </c>
    </row>
    <row r="8" spans="2:5" x14ac:dyDescent="0.25">
      <c r="B8" s="33" t="s">
        <v>26</v>
      </c>
      <c r="C8" s="32"/>
      <c r="D8" s="31"/>
      <c r="E8" s="30"/>
    </row>
    <row r="9" spans="2:5" x14ac:dyDescent="0.25">
      <c r="B9" s="13" t="s">
        <v>25</v>
      </c>
      <c r="C9" s="12">
        <v>3</v>
      </c>
      <c r="D9" s="11">
        <v>3</v>
      </c>
      <c r="E9" s="10">
        <v>2</v>
      </c>
    </row>
    <row r="10" spans="2:5" x14ac:dyDescent="0.25">
      <c r="B10" s="9" t="s">
        <v>73</v>
      </c>
      <c r="C10" s="29">
        <v>1</v>
      </c>
      <c r="D10" s="28">
        <v>1</v>
      </c>
      <c r="E10" s="27">
        <v>0.75</v>
      </c>
    </row>
    <row r="11" spans="2:5" x14ac:dyDescent="0.25">
      <c r="B11" s="13" t="s">
        <v>74</v>
      </c>
      <c r="C11" s="12">
        <v>2</v>
      </c>
      <c r="D11" s="11">
        <v>2</v>
      </c>
      <c r="E11" s="10">
        <v>1.5</v>
      </c>
    </row>
    <row r="12" spans="2:5" ht="15.75" thickBot="1" x14ac:dyDescent="0.3">
      <c r="B12" s="26" t="s">
        <v>73</v>
      </c>
      <c r="C12" s="25">
        <v>1</v>
      </c>
      <c r="D12" s="24">
        <v>1</v>
      </c>
      <c r="E12" s="23">
        <v>0.75</v>
      </c>
    </row>
    <row r="13" spans="2:5" x14ac:dyDescent="0.25">
      <c r="B13" s="22" t="s">
        <v>72</v>
      </c>
      <c r="C13" s="21"/>
      <c r="D13" s="20"/>
      <c r="E13" s="19"/>
    </row>
    <row r="14" spans="2:5" ht="45.75" thickBot="1" x14ac:dyDescent="0.3">
      <c r="B14" s="18" t="s">
        <v>71</v>
      </c>
      <c r="C14" s="4">
        <v>1</v>
      </c>
      <c r="D14" s="3">
        <v>1</v>
      </c>
      <c r="E14" s="2">
        <v>0.75</v>
      </c>
    </row>
    <row r="15" spans="2:5" x14ac:dyDescent="0.25">
      <c r="B15" s="33" t="s">
        <v>8</v>
      </c>
      <c r="C15" s="16"/>
      <c r="D15" s="15"/>
      <c r="E15" s="14"/>
    </row>
    <row r="16" spans="2:5" x14ac:dyDescent="0.25">
      <c r="B16" s="52" t="s">
        <v>7</v>
      </c>
      <c r="C16" s="46">
        <v>3</v>
      </c>
      <c r="D16" s="47">
        <v>3</v>
      </c>
      <c r="E16" s="48">
        <v>3</v>
      </c>
    </row>
    <row r="17" spans="2:5" ht="15.75" thickBot="1" x14ac:dyDescent="0.3">
      <c r="B17" s="53" t="s">
        <v>35</v>
      </c>
      <c r="C17" s="49">
        <v>1</v>
      </c>
      <c r="D17" s="50">
        <v>1</v>
      </c>
      <c r="E17" s="51">
        <v>0.75</v>
      </c>
    </row>
    <row r="18" spans="2:5" ht="38.25" x14ac:dyDescent="0.25">
      <c r="B18" s="17" t="s">
        <v>34</v>
      </c>
      <c r="C18" s="16"/>
      <c r="D18" s="15"/>
      <c r="E18" s="14"/>
    </row>
    <row r="19" spans="2:5" x14ac:dyDescent="0.25">
      <c r="B19" s="13" t="s">
        <v>33</v>
      </c>
      <c r="C19" s="12">
        <v>6</v>
      </c>
      <c r="D19" s="11">
        <v>6</v>
      </c>
      <c r="E19" s="10">
        <v>4</v>
      </c>
    </row>
    <row r="20" spans="2:5" x14ac:dyDescent="0.25">
      <c r="B20" s="13" t="s">
        <v>32</v>
      </c>
      <c r="C20" s="12">
        <v>6</v>
      </c>
      <c r="D20" s="11">
        <v>6</v>
      </c>
      <c r="E20" s="10">
        <v>4</v>
      </c>
    </row>
    <row r="21" spans="2:5" x14ac:dyDescent="0.25">
      <c r="B21" s="9" t="s">
        <v>31</v>
      </c>
      <c r="C21" s="8">
        <v>6</v>
      </c>
      <c r="D21" s="7">
        <v>6</v>
      </c>
      <c r="E21" s="6">
        <v>4</v>
      </c>
    </row>
    <row r="22" spans="2:5" x14ac:dyDescent="0.25">
      <c r="B22" s="9" t="s">
        <v>30</v>
      </c>
      <c r="C22" s="8">
        <v>5</v>
      </c>
      <c r="D22" s="7">
        <v>5</v>
      </c>
      <c r="E22" s="6">
        <v>3.5</v>
      </c>
    </row>
    <row r="23" spans="2:5" ht="15.75" thickBot="1" x14ac:dyDescent="0.3">
      <c r="B23" s="5" t="s">
        <v>29</v>
      </c>
      <c r="C23" s="4">
        <v>4.5</v>
      </c>
      <c r="D23" s="3">
        <v>4.5</v>
      </c>
      <c r="E23" s="2">
        <v>3</v>
      </c>
    </row>
  </sheetData>
  <sheetProtection algorithmName="SHA-512" hashValue="9mTTSH6V6GazJwHdtCHn7aq3F0NJPJeZFTFfcV7b5b13yJuts5m/fhzJketdiW7ktfQ6WHl6/tI5exKtleWCNQ==" saltValue="+FP0u+QdUAKx9P6JRRZFtw==" spinCount="100000" sheet="1" selectLockedCells="1"/>
  <mergeCells count="1">
    <mergeCell ref="B2:E2"/>
  </mergeCells>
  <phoneticPr fontId="4" type="noConversion"/>
  <pageMargins left="0.78740157480314965" right="0.78740157480314965" top="0.98425196850393704" bottom="0.98425196850393704" header="0" footer="0"/>
  <pageSetup paperSize="9" orientation="landscape" horizontalDpi="4294967292" verticalDpi="429496729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2:H47"/>
  <sheetViews>
    <sheetView topLeftCell="A10" zoomScale="130" zoomScaleNormal="130" workbookViewId="0">
      <selection activeCell="G15" sqref="G15"/>
    </sheetView>
  </sheetViews>
  <sheetFormatPr baseColWidth="10" defaultColWidth="11.42578125" defaultRowHeight="15" x14ac:dyDescent="0.25"/>
  <cols>
    <col min="1" max="1" width="47.28515625" style="62" customWidth="1"/>
    <col min="3" max="3" width="45" customWidth="1"/>
    <col min="5" max="5" width="45.7109375" customWidth="1"/>
    <col min="7" max="7" width="40" customWidth="1"/>
    <col min="9" max="10" width="25.7109375" customWidth="1"/>
  </cols>
  <sheetData>
    <row r="2" spans="1:7" x14ac:dyDescent="0.25">
      <c r="A2" s="62" t="s">
        <v>116</v>
      </c>
    </row>
    <row r="3" spans="1:7" ht="15" customHeight="1" thickBot="1" x14ac:dyDescent="0.3">
      <c r="A3" s="62" t="s">
        <v>17</v>
      </c>
    </row>
    <row r="4" spans="1:7" ht="15" customHeight="1" x14ac:dyDescent="0.25">
      <c r="A4" s="102" t="s">
        <v>183</v>
      </c>
      <c r="B4" s="103"/>
      <c r="C4" s="103"/>
      <c r="D4" s="103"/>
      <c r="E4" s="103"/>
      <c r="F4" s="104"/>
    </row>
    <row r="5" spans="1:7" ht="15" customHeight="1" x14ac:dyDescent="0.25">
      <c r="A5" s="105"/>
      <c r="B5" s="106" t="s">
        <v>97</v>
      </c>
      <c r="C5" s="107"/>
      <c r="D5" s="106" t="s">
        <v>98</v>
      </c>
      <c r="E5" s="107"/>
      <c r="F5" s="108" t="s">
        <v>99</v>
      </c>
    </row>
    <row r="6" spans="1:7" ht="33.75" customHeight="1" x14ac:dyDescent="0.25">
      <c r="A6" s="109" t="s">
        <v>158</v>
      </c>
      <c r="B6" s="107"/>
      <c r="C6" s="110" t="s">
        <v>158</v>
      </c>
      <c r="D6" s="107"/>
      <c r="E6" s="110" t="s">
        <v>158</v>
      </c>
      <c r="F6" s="111"/>
    </row>
    <row r="7" spans="1:7" ht="15" customHeight="1" x14ac:dyDescent="0.25">
      <c r="A7" s="117" t="s">
        <v>173</v>
      </c>
      <c r="B7" s="89">
        <v>0</v>
      </c>
      <c r="C7" s="116" t="s">
        <v>173</v>
      </c>
      <c r="D7" s="89">
        <v>0</v>
      </c>
      <c r="E7" s="116" t="s">
        <v>173</v>
      </c>
      <c r="F7" s="118">
        <v>0</v>
      </c>
    </row>
    <row r="8" spans="1:7" ht="27.75" customHeight="1" x14ac:dyDescent="0.25">
      <c r="A8" s="112" t="s">
        <v>154</v>
      </c>
      <c r="B8" s="71">
        <v>4</v>
      </c>
      <c r="C8" s="74" t="s">
        <v>154</v>
      </c>
      <c r="D8" s="65">
        <v>3.5</v>
      </c>
      <c r="E8" s="74" t="s">
        <v>154</v>
      </c>
      <c r="F8" s="66">
        <v>4</v>
      </c>
    </row>
    <row r="9" spans="1:7" ht="20.25" customHeight="1" x14ac:dyDescent="0.25">
      <c r="A9" s="112" t="s">
        <v>156</v>
      </c>
      <c r="B9" s="71">
        <v>4</v>
      </c>
      <c r="C9" s="74" t="s">
        <v>156</v>
      </c>
      <c r="D9" s="65">
        <v>1.25</v>
      </c>
      <c r="E9" s="74" t="s">
        <v>156</v>
      </c>
      <c r="F9" s="66">
        <v>4</v>
      </c>
    </row>
    <row r="10" spans="1:7" ht="20.25" customHeight="1" x14ac:dyDescent="0.25">
      <c r="A10" s="112" t="s">
        <v>155</v>
      </c>
      <c r="B10" s="71">
        <v>3</v>
      </c>
      <c r="C10" s="74" t="s">
        <v>155</v>
      </c>
      <c r="D10" s="65">
        <v>2.5</v>
      </c>
      <c r="E10" s="74" t="s">
        <v>155</v>
      </c>
      <c r="F10" s="66">
        <v>3</v>
      </c>
    </row>
    <row r="11" spans="1:7" ht="18" x14ac:dyDescent="0.25">
      <c r="A11" s="112" t="s">
        <v>157</v>
      </c>
      <c r="B11" s="71">
        <v>3</v>
      </c>
      <c r="C11" s="74" t="s">
        <v>157</v>
      </c>
      <c r="D11" s="65">
        <v>0.75</v>
      </c>
      <c r="E11" s="74" t="s">
        <v>157</v>
      </c>
      <c r="F11" s="66">
        <v>3</v>
      </c>
    </row>
    <row r="12" spans="1:7" x14ac:dyDescent="0.25">
      <c r="A12" s="112"/>
      <c r="B12" s="71"/>
      <c r="C12" s="327"/>
      <c r="D12" s="65"/>
      <c r="E12" s="327"/>
      <c r="F12" s="66"/>
    </row>
    <row r="13" spans="1:7" ht="18" x14ac:dyDescent="0.25">
      <c r="A13" s="112" t="s">
        <v>266</v>
      </c>
      <c r="B13" s="71">
        <v>3.5</v>
      </c>
      <c r="C13" s="112" t="s">
        <v>266</v>
      </c>
      <c r="D13" s="65">
        <v>3</v>
      </c>
      <c r="E13" s="112" t="s">
        <v>266</v>
      </c>
      <c r="F13" s="66">
        <v>3.5</v>
      </c>
    </row>
    <row r="14" spans="1:7" ht="20.25" customHeight="1" x14ac:dyDescent="0.25">
      <c r="A14" s="112" t="s">
        <v>267</v>
      </c>
      <c r="B14" s="71">
        <v>3.5</v>
      </c>
      <c r="C14" s="112" t="s">
        <v>267</v>
      </c>
      <c r="D14" s="65">
        <v>1</v>
      </c>
      <c r="E14" s="112" t="s">
        <v>267</v>
      </c>
      <c r="F14" s="66">
        <v>3.5</v>
      </c>
    </row>
    <row r="15" spans="1:7" ht="19.5" customHeight="1" x14ac:dyDescent="0.25">
      <c r="A15" s="112" t="s">
        <v>462</v>
      </c>
      <c r="B15" s="71">
        <v>3</v>
      </c>
      <c r="C15" s="74" t="s">
        <v>464</v>
      </c>
      <c r="D15" s="65">
        <v>2.5</v>
      </c>
      <c r="E15" s="74" t="s">
        <v>464</v>
      </c>
      <c r="F15" s="66">
        <v>3</v>
      </c>
    </row>
    <row r="16" spans="1:7" ht="18.75" thickBot="1" x14ac:dyDescent="0.3">
      <c r="A16" s="113" t="s">
        <v>463</v>
      </c>
      <c r="B16" s="72">
        <v>3</v>
      </c>
      <c r="C16" s="114" t="s">
        <v>463</v>
      </c>
      <c r="D16" s="67">
        <v>0.75</v>
      </c>
      <c r="E16" s="114" t="s">
        <v>463</v>
      </c>
      <c r="F16" s="68">
        <v>3</v>
      </c>
      <c r="G16" s="73"/>
    </row>
    <row r="18" spans="1:8" ht="15.75" thickBot="1" x14ac:dyDescent="0.3">
      <c r="A18" s="137" t="s">
        <v>159</v>
      </c>
    </row>
    <row r="19" spans="1:8" x14ac:dyDescent="0.25">
      <c r="A19" s="119"/>
      <c r="B19" s="103"/>
      <c r="C19" s="103"/>
      <c r="D19" s="103"/>
      <c r="E19" s="103"/>
      <c r="F19" s="103"/>
      <c r="G19" s="103"/>
      <c r="H19" s="104"/>
    </row>
    <row r="20" spans="1:8" x14ac:dyDescent="0.25">
      <c r="A20" s="120" t="s">
        <v>182</v>
      </c>
      <c r="B20" s="107"/>
      <c r="C20" s="107"/>
      <c r="D20" s="107"/>
      <c r="E20" s="107"/>
      <c r="F20" s="107"/>
      <c r="G20" s="107"/>
      <c r="H20" s="111"/>
    </row>
    <row r="21" spans="1:8" x14ac:dyDescent="0.25">
      <c r="A21" s="1177" t="s">
        <v>162</v>
      </c>
      <c r="B21" s="1178"/>
      <c r="C21" s="1179" t="s">
        <v>98</v>
      </c>
      <c r="D21" s="1178"/>
      <c r="E21" s="1179" t="s">
        <v>163</v>
      </c>
      <c r="F21" s="1178"/>
      <c r="G21" s="1179" t="s">
        <v>164</v>
      </c>
      <c r="H21" s="1180"/>
    </row>
    <row r="22" spans="1:8" x14ac:dyDescent="0.25">
      <c r="A22" s="121" t="s">
        <v>349</v>
      </c>
      <c r="B22" s="89">
        <v>0</v>
      </c>
      <c r="C22" s="121" t="s">
        <v>349</v>
      </c>
      <c r="D22" s="89">
        <v>0</v>
      </c>
      <c r="E22" s="121" t="s">
        <v>349</v>
      </c>
      <c r="F22" s="89">
        <v>0</v>
      </c>
      <c r="G22" s="121" t="s">
        <v>349</v>
      </c>
      <c r="H22" s="118">
        <v>0</v>
      </c>
    </row>
    <row r="23" spans="1:8" ht="18" x14ac:dyDescent="0.25">
      <c r="A23" s="122" t="s">
        <v>411</v>
      </c>
      <c r="B23" s="84">
        <v>1</v>
      </c>
      <c r="C23" s="80" t="s">
        <v>160</v>
      </c>
      <c r="D23" s="86">
        <v>4</v>
      </c>
      <c r="E23" s="80" t="s">
        <v>412</v>
      </c>
      <c r="F23" s="81">
        <v>75</v>
      </c>
      <c r="G23" s="80" t="s">
        <v>412</v>
      </c>
      <c r="H23" s="123">
        <v>1000</v>
      </c>
    </row>
    <row r="24" spans="1:8" ht="18" x14ac:dyDescent="0.25">
      <c r="A24" s="124" t="s">
        <v>413</v>
      </c>
      <c r="B24" s="85">
        <v>1.5</v>
      </c>
      <c r="C24" s="82" t="s">
        <v>165</v>
      </c>
      <c r="D24" s="87">
        <v>6</v>
      </c>
      <c r="E24" s="82" t="s">
        <v>413</v>
      </c>
      <c r="F24" s="83">
        <v>100</v>
      </c>
      <c r="G24" s="82" t="s">
        <v>413</v>
      </c>
      <c r="H24" s="115">
        <v>1000</v>
      </c>
    </row>
    <row r="25" spans="1:8" ht="18" x14ac:dyDescent="0.25">
      <c r="A25" s="124" t="s">
        <v>414</v>
      </c>
      <c r="B25" s="85">
        <v>2</v>
      </c>
      <c r="C25" s="82" t="s">
        <v>161</v>
      </c>
      <c r="D25" s="87">
        <v>8</v>
      </c>
      <c r="E25" s="82" t="s">
        <v>414</v>
      </c>
      <c r="F25" s="83">
        <v>175</v>
      </c>
      <c r="G25" s="82" t="s">
        <v>414</v>
      </c>
      <c r="H25" s="115">
        <v>1000</v>
      </c>
    </row>
    <row r="26" spans="1:8" ht="18" x14ac:dyDescent="0.25">
      <c r="A26" s="122" t="s">
        <v>415</v>
      </c>
      <c r="B26" s="84">
        <v>1.5</v>
      </c>
      <c r="C26" s="80" t="s">
        <v>166</v>
      </c>
      <c r="D26" s="86">
        <v>6</v>
      </c>
      <c r="E26" s="80" t="s">
        <v>415</v>
      </c>
      <c r="F26" s="81">
        <v>100</v>
      </c>
      <c r="G26" s="80" t="s">
        <v>415</v>
      </c>
      <c r="H26" s="123">
        <v>1000</v>
      </c>
    </row>
    <row r="27" spans="1:8" ht="18" x14ac:dyDescent="0.25">
      <c r="A27" s="124" t="s">
        <v>416</v>
      </c>
      <c r="B27" s="85">
        <v>2</v>
      </c>
      <c r="C27" s="82" t="s">
        <v>167</v>
      </c>
      <c r="D27" s="87">
        <v>9</v>
      </c>
      <c r="E27" s="82" t="s">
        <v>416</v>
      </c>
      <c r="F27" s="83">
        <v>150</v>
      </c>
      <c r="G27" s="82" t="s">
        <v>416</v>
      </c>
      <c r="H27" s="115">
        <v>1000</v>
      </c>
    </row>
    <row r="28" spans="1:8" ht="18.75" thickBot="1" x14ac:dyDescent="0.3">
      <c r="A28" s="125" t="s">
        <v>417</v>
      </c>
      <c r="B28" s="328">
        <v>3</v>
      </c>
      <c r="C28" s="126" t="s">
        <v>168</v>
      </c>
      <c r="D28" s="127">
        <v>12</v>
      </c>
      <c r="E28" s="126" t="s">
        <v>417</v>
      </c>
      <c r="F28" s="329">
        <v>250</v>
      </c>
      <c r="G28" s="126" t="s">
        <v>417</v>
      </c>
      <c r="H28" s="128">
        <v>1000</v>
      </c>
    </row>
    <row r="29" spans="1:8" ht="15.75" thickBot="1" x14ac:dyDescent="0.3"/>
    <row r="30" spans="1:8" x14ac:dyDescent="0.25">
      <c r="A30" s="119"/>
      <c r="B30" s="103"/>
      <c r="C30" s="103"/>
      <c r="D30" s="103"/>
      <c r="E30" s="103"/>
      <c r="F30" s="103"/>
      <c r="G30" s="103"/>
      <c r="H30" s="104"/>
    </row>
    <row r="31" spans="1:8" x14ac:dyDescent="0.25">
      <c r="A31" s="120" t="s">
        <v>182</v>
      </c>
      <c r="B31" s="107"/>
      <c r="C31" s="107"/>
      <c r="D31" s="107"/>
      <c r="E31" s="107"/>
      <c r="F31" s="107"/>
      <c r="G31" s="107"/>
      <c r="H31" s="111"/>
    </row>
    <row r="32" spans="1:8" ht="15" customHeight="1" x14ac:dyDescent="0.25">
      <c r="A32" s="1177" t="s">
        <v>162</v>
      </c>
      <c r="B32" s="1178"/>
      <c r="C32" s="1179" t="s">
        <v>98</v>
      </c>
      <c r="D32" s="1178"/>
      <c r="E32" s="1179" t="s">
        <v>163</v>
      </c>
      <c r="F32" s="1178"/>
      <c r="G32" s="1179" t="s">
        <v>164</v>
      </c>
      <c r="H32" s="1180"/>
    </row>
    <row r="33" spans="1:8" x14ac:dyDescent="0.25">
      <c r="A33" s="121" t="s">
        <v>350</v>
      </c>
      <c r="B33" s="89">
        <v>0</v>
      </c>
      <c r="C33" s="121" t="s">
        <v>350</v>
      </c>
      <c r="D33" s="89">
        <v>0</v>
      </c>
      <c r="E33" s="121" t="s">
        <v>350</v>
      </c>
      <c r="F33" s="89">
        <v>0</v>
      </c>
      <c r="G33" s="121" t="s">
        <v>350</v>
      </c>
      <c r="H33" s="118">
        <v>0</v>
      </c>
    </row>
    <row r="34" spans="1:8" x14ac:dyDescent="0.25">
      <c r="A34" s="124" t="s">
        <v>418</v>
      </c>
      <c r="B34" s="85">
        <v>1</v>
      </c>
      <c r="C34" s="82" t="s">
        <v>418</v>
      </c>
      <c r="D34" s="87">
        <v>10</v>
      </c>
      <c r="E34" s="82" t="s">
        <v>418</v>
      </c>
      <c r="F34" s="83">
        <v>20</v>
      </c>
      <c r="G34" s="82" t="s">
        <v>418</v>
      </c>
      <c r="H34" s="115">
        <v>100</v>
      </c>
    </row>
    <row r="35" spans="1:8" ht="15.75" thickBot="1" x14ac:dyDescent="0.3">
      <c r="A35" s="125" t="s">
        <v>419</v>
      </c>
      <c r="B35" s="328">
        <v>1.5</v>
      </c>
      <c r="C35" s="126" t="s">
        <v>419</v>
      </c>
      <c r="D35" s="127">
        <v>15</v>
      </c>
      <c r="E35" s="126" t="s">
        <v>419</v>
      </c>
      <c r="F35" s="329">
        <v>30</v>
      </c>
      <c r="G35" s="126" t="s">
        <v>419</v>
      </c>
      <c r="H35" s="128">
        <v>150</v>
      </c>
    </row>
    <row r="36" spans="1:8" x14ac:dyDescent="0.25">
      <c r="A36" s="472"/>
      <c r="B36" s="473"/>
      <c r="C36" s="472"/>
      <c r="D36" s="474"/>
      <c r="E36" s="472"/>
      <c r="F36" s="475"/>
      <c r="G36" s="472"/>
      <c r="H36" s="475"/>
    </row>
    <row r="37" spans="1:8" ht="15.75" thickBot="1" x14ac:dyDescent="0.3">
      <c r="A37" s="472"/>
      <c r="B37" s="473"/>
      <c r="C37" s="472"/>
      <c r="D37" s="474"/>
      <c r="E37" s="472"/>
      <c r="F37" s="475"/>
      <c r="G37" s="472"/>
      <c r="H37" s="475"/>
    </row>
    <row r="38" spans="1:8" x14ac:dyDescent="0.25">
      <c r="A38" s="476" t="s">
        <v>182</v>
      </c>
      <c r="B38" s="103"/>
      <c r="C38" s="103"/>
      <c r="D38" s="103"/>
      <c r="E38" s="103"/>
      <c r="F38" s="103"/>
      <c r="G38" s="103"/>
      <c r="H38" s="104"/>
    </row>
    <row r="39" spans="1:8" x14ac:dyDescent="0.25">
      <c r="A39" s="1177" t="s">
        <v>162</v>
      </c>
      <c r="B39" s="1178"/>
      <c r="C39" s="1179" t="s">
        <v>98</v>
      </c>
      <c r="D39" s="1178"/>
      <c r="E39" s="1179" t="s">
        <v>163</v>
      </c>
      <c r="F39" s="1178"/>
      <c r="G39" s="1179" t="s">
        <v>164</v>
      </c>
      <c r="H39" s="1180"/>
    </row>
    <row r="40" spans="1:8" x14ac:dyDescent="0.25">
      <c r="A40" s="121" t="s">
        <v>369</v>
      </c>
      <c r="B40" s="89">
        <v>0</v>
      </c>
      <c r="C40" s="121" t="s">
        <v>369</v>
      </c>
      <c r="D40" s="89">
        <v>0</v>
      </c>
      <c r="E40" s="121" t="s">
        <v>369</v>
      </c>
      <c r="F40" s="89">
        <v>0</v>
      </c>
      <c r="G40" s="121" t="s">
        <v>369</v>
      </c>
      <c r="H40" s="118">
        <v>0</v>
      </c>
    </row>
    <row r="41" spans="1:8" x14ac:dyDescent="0.25">
      <c r="A41" s="124" t="s">
        <v>420</v>
      </c>
      <c r="B41" s="85">
        <v>0.5</v>
      </c>
      <c r="C41" s="124" t="s">
        <v>420</v>
      </c>
      <c r="D41" s="87">
        <v>1</v>
      </c>
      <c r="E41" s="124" t="s">
        <v>420</v>
      </c>
      <c r="F41" s="83">
        <v>1.5</v>
      </c>
      <c r="G41" s="124" t="s">
        <v>420</v>
      </c>
      <c r="H41" s="115">
        <v>30</v>
      </c>
    </row>
    <row r="42" spans="1:8" ht="15.75" thickBot="1" x14ac:dyDescent="0.3">
      <c r="A42" s="125" t="s">
        <v>421</v>
      </c>
      <c r="B42" s="328">
        <v>0.75</v>
      </c>
      <c r="C42" s="125" t="s">
        <v>421</v>
      </c>
      <c r="D42" s="127">
        <v>1.4</v>
      </c>
      <c r="E42" s="125" t="s">
        <v>421</v>
      </c>
      <c r="F42" s="329">
        <v>2</v>
      </c>
      <c r="G42" s="125" t="s">
        <v>421</v>
      </c>
      <c r="H42" s="128">
        <v>45</v>
      </c>
    </row>
    <row r="44" spans="1:8" x14ac:dyDescent="0.25">
      <c r="A44" s="332" t="s">
        <v>271</v>
      </c>
    </row>
    <row r="45" spans="1:8" ht="18.75" x14ac:dyDescent="0.35">
      <c r="A45" s="331" t="s">
        <v>268</v>
      </c>
    </row>
    <row r="46" spans="1:8" ht="18.75" x14ac:dyDescent="0.35">
      <c r="A46" s="331" t="s">
        <v>269</v>
      </c>
    </row>
    <row r="47" spans="1:8" ht="18.75" x14ac:dyDescent="0.35">
      <c r="A47" s="331" t="s">
        <v>270</v>
      </c>
    </row>
  </sheetData>
  <sheetProtection algorithmName="SHA-512" hashValue="HIC6XQAteJJrztX5nwHlqdOQ6K+kRD8sq/ixh2hDgsE5EX+kzDqax9yRJ+AN7/gLoXOgvrtkTxAs+dAq80+Jvw==" saltValue="M5L4sVcAZG1d6Ez9aJySSg==" spinCount="100000" sheet="1" selectLockedCells="1"/>
  <mergeCells count="12">
    <mergeCell ref="A39:B39"/>
    <mergeCell ref="C39:D39"/>
    <mergeCell ref="E39:F39"/>
    <mergeCell ref="G39:H39"/>
    <mergeCell ref="A21:B21"/>
    <mergeCell ref="C21:D21"/>
    <mergeCell ref="E21:F21"/>
    <mergeCell ref="G21:H21"/>
    <mergeCell ref="A32:B32"/>
    <mergeCell ref="C32:D32"/>
    <mergeCell ref="E32:F32"/>
    <mergeCell ref="G32:H32"/>
  </mergeCells>
  <pageMargins left="0.78740157499999996" right="0.78740157499999996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S42" sqref="S42"/>
    </sheetView>
  </sheetViews>
  <sheetFormatPr baseColWidth="10" defaultColWidth="8.7109375" defaultRowHeight="15" x14ac:dyDescent="0.25"/>
  <cols>
    <col min="1" max="1" width="18.140625" customWidth="1"/>
    <col min="3" max="3" width="0" hidden="1" customWidth="1"/>
    <col min="4" max="4" width="18.140625" customWidth="1"/>
    <col min="6" max="6" width="18.140625" customWidth="1"/>
    <col min="8" max="8" width="18.140625" customWidth="1"/>
  </cols>
  <sheetData>
    <row r="2" spans="1:9" ht="15.75" thickBot="1" x14ac:dyDescent="0.3">
      <c r="A2" s="97" t="s">
        <v>176</v>
      </c>
      <c r="B2" s="97"/>
      <c r="C2" s="97"/>
      <c r="D2" s="97"/>
      <c r="E2" s="97"/>
      <c r="F2" s="97"/>
      <c r="G2" s="69"/>
      <c r="H2" s="69"/>
      <c r="I2" s="69"/>
    </row>
    <row r="3" spans="1:9" ht="36.75" customHeight="1" x14ac:dyDescent="0.25">
      <c r="A3" s="90" t="s">
        <v>127</v>
      </c>
      <c r="B3" s="140" t="s">
        <v>177</v>
      </c>
      <c r="C3" s="151"/>
      <c r="D3" s="132"/>
      <c r="E3" s="1181" t="s">
        <v>181</v>
      </c>
      <c r="F3" s="1182"/>
      <c r="G3" s="1182"/>
      <c r="H3" s="1182"/>
      <c r="I3" s="1183"/>
    </row>
    <row r="4" spans="1:9" ht="22.5" customHeight="1" x14ac:dyDescent="0.25">
      <c r="A4" s="91"/>
      <c r="B4" s="130"/>
      <c r="C4" s="130"/>
      <c r="D4" s="133"/>
      <c r="E4" s="1184" t="s">
        <v>180</v>
      </c>
      <c r="F4" s="1185"/>
      <c r="G4" s="1185"/>
      <c r="H4" s="1185"/>
      <c r="I4" s="1186"/>
    </row>
    <row r="5" spans="1:9" ht="18" thickBot="1" x14ac:dyDescent="0.3">
      <c r="A5" s="92"/>
      <c r="B5" s="94" t="s">
        <v>178</v>
      </c>
      <c r="C5" s="98" t="s">
        <v>179</v>
      </c>
      <c r="D5" s="134"/>
      <c r="E5" s="152">
        <v>1</v>
      </c>
      <c r="F5" s="135"/>
      <c r="G5" s="129">
        <v>2</v>
      </c>
      <c r="H5" s="136"/>
      <c r="I5" s="131">
        <v>3</v>
      </c>
    </row>
    <row r="6" spans="1:9" ht="22.5" x14ac:dyDescent="0.25">
      <c r="A6" s="79" t="s">
        <v>140</v>
      </c>
      <c r="B6" s="99">
        <v>0.1</v>
      </c>
      <c r="C6" s="100">
        <v>0.3</v>
      </c>
      <c r="D6" s="79" t="s">
        <v>140</v>
      </c>
      <c r="E6" s="99">
        <v>1</v>
      </c>
      <c r="F6" s="79" t="s">
        <v>140</v>
      </c>
      <c r="G6" s="99">
        <v>2</v>
      </c>
      <c r="H6" s="79" t="s">
        <v>140</v>
      </c>
      <c r="I6" s="101">
        <v>2.5</v>
      </c>
    </row>
    <row r="7" spans="1:9" x14ac:dyDescent="0.25">
      <c r="A7" s="76" t="s">
        <v>130</v>
      </c>
      <c r="B7" s="95">
        <v>0.3</v>
      </c>
      <c r="C7" s="57">
        <v>0.4</v>
      </c>
      <c r="D7" s="76" t="s">
        <v>130</v>
      </c>
      <c r="E7" s="95">
        <v>1</v>
      </c>
      <c r="F7" s="76" t="s">
        <v>130</v>
      </c>
      <c r="G7" s="95">
        <v>1.8</v>
      </c>
      <c r="H7" s="76" t="s">
        <v>130</v>
      </c>
      <c r="I7" s="70">
        <v>2</v>
      </c>
    </row>
    <row r="8" spans="1:9" x14ac:dyDescent="0.25">
      <c r="A8" s="76" t="s">
        <v>132</v>
      </c>
      <c r="B8" s="95">
        <v>0.5</v>
      </c>
      <c r="C8" s="57">
        <v>0.4</v>
      </c>
      <c r="D8" s="76" t="s">
        <v>132</v>
      </c>
      <c r="E8" s="95">
        <v>1</v>
      </c>
      <c r="F8" s="76" t="s">
        <v>132</v>
      </c>
      <c r="G8" s="95">
        <v>1.5</v>
      </c>
      <c r="H8" s="76" t="s">
        <v>132</v>
      </c>
      <c r="I8" s="70">
        <v>1.8</v>
      </c>
    </row>
    <row r="9" spans="1:9" x14ac:dyDescent="0.25">
      <c r="A9" s="76" t="s">
        <v>134</v>
      </c>
      <c r="B9" s="95">
        <v>0.7</v>
      </c>
      <c r="C9" s="57">
        <v>0.7</v>
      </c>
      <c r="D9" s="76" t="s">
        <v>134</v>
      </c>
      <c r="E9" s="95">
        <v>1</v>
      </c>
      <c r="F9" s="76" t="s">
        <v>134</v>
      </c>
      <c r="G9" s="95">
        <v>1.3</v>
      </c>
      <c r="H9" s="76" t="s">
        <v>134</v>
      </c>
      <c r="I9" s="70">
        <v>1.4</v>
      </c>
    </row>
    <row r="10" spans="1:9" x14ac:dyDescent="0.25">
      <c r="A10" s="76" t="s">
        <v>136</v>
      </c>
      <c r="B10" s="95">
        <v>0.9</v>
      </c>
      <c r="C10" s="57">
        <v>0.9</v>
      </c>
      <c r="D10" s="76" t="s">
        <v>136</v>
      </c>
      <c r="E10" s="95">
        <v>1</v>
      </c>
      <c r="F10" s="76" t="s">
        <v>136</v>
      </c>
      <c r="G10" s="95">
        <v>1.1000000000000001</v>
      </c>
      <c r="H10" s="76" t="s">
        <v>136</v>
      </c>
      <c r="I10" s="70">
        <v>1.1000000000000001</v>
      </c>
    </row>
    <row r="11" spans="1:9" ht="23.25" thickBot="1" x14ac:dyDescent="0.3">
      <c r="A11" s="77" t="s">
        <v>141</v>
      </c>
      <c r="B11" s="96">
        <v>1</v>
      </c>
      <c r="C11" s="58">
        <v>1</v>
      </c>
      <c r="D11" s="77" t="s">
        <v>141</v>
      </c>
      <c r="E11" s="96">
        <v>1</v>
      </c>
      <c r="F11" s="77" t="s">
        <v>141</v>
      </c>
      <c r="G11" s="96">
        <v>1</v>
      </c>
      <c r="H11" s="77" t="s">
        <v>141</v>
      </c>
      <c r="I11" s="78">
        <v>1</v>
      </c>
    </row>
    <row r="12" spans="1:9" x14ac:dyDescent="0.25">
      <c r="A12" s="93" t="s">
        <v>139</v>
      </c>
      <c r="B12" s="93"/>
      <c r="C12" s="93"/>
      <c r="D12" s="93"/>
      <c r="E12" s="93"/>
      <c r="F12" s="93"/>
      <c r="G12" s="69"/>
      <c r="H12" s="69"/>
      <c r="I12" s="69"/>
    </row>
    <row r="13" spans="1:9" x14ac:dyDescent="0.25">
      <c r="A13" s="62"/>
    </row>
  </sheetData>
  <sheetProtection algorithmName="SHA-512" hashValue="X+1r9U1X1ekq2/J0tXxHMkB3qWY7Vqls2BKp9AH4GCuT68NLH2noHW20FZF0lu3mruhSe+v+rwX6ui77UkpGpg==" saltValue="SVWpavyGDK7iXzqOlhcGaw==" spinCount="100000" sheet="1" selectLockedCells="1"/>
  <mergeCells count="2">
    <mergeCell ref="E3:I3"/>
    <mergeCell ref="E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T70"/>
  <sheetViews>
    <sheetView zoomScaleNormal="100" zoomScalePageLayoutView="110" workbookViewId="0">
      <selection activeCell="E7" sqref="E7:O7"/>
    </sheetView>
  </sheetViews>
  <sheetFormatPr baseColWidth="10" defaultColWidth="10.7109375" defaultRowHeight="15" x14ac:dyDescent="0.25"/>
  <cols>
    <col min="1" max="1" width="2.42578125" style="1" customWidth="1"/>
    <col min="2" max="2" width="17.42578125" style="1" customWidth="1"/>
    <col min="3" max="14" width="6.42578125" style="1" customWidth="1"/>
    <col min="15" max="15" width="7" style="1" customWidth="1"/>
    <col min="16" max="16" width="4.85546875" style="1" customWidth="1"/>
    <col min="17" max="16384" width="10.7109375" style="1"/>
  </cols>
  <sheetData>
    <row r="1" spans="1:20" ht="14.25" customHeight="1" x14ac:dyDescent="0.25">
      <c r="A1" s="636"/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20"/>
      <c r="R1" s="620"/>
      <c r="S1" s="620"/>
      <c r="T1" s="638"/>
    </row>
    <row r="2" spans="1:20" ht="33" x14ac:dyDescent="0.25">
      <c r="A2" s="573"/>
      <c r="B2" s="797" t="s">
        <v>434</v>
      </c>
      <c r="C2" s="797"/>
      <c r="D2" s="797"/>
      <c r="E2" s="797"/>
      <c r="F2" s="797"/>
      <c r="G2" s="797"/>
      <c r="H2" s="797"/>
      <c r="I2" s="797"/>
      <c r="J2" s="797"/>
      <c r="K2" s="797"/>
      <c r="L2" s="797"/>
      <c r="M2" s="797"/>
      <c r="N2" s="797"/>
      <c r="O2" s="797"/>
      <c r="P2" s="797"/>
      <c r="Q2" s="322"/>
      <c r="R2" s="322"/>
      <c r="S2" s="322"/>
      <c r="T2" s="624"/>
    </row>
    <row r="3" spans="1:20" x14ac:dyDescent="0.25">
      <c r="A3" s="574"/>
      <c r="B3" s="379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624"/>
    </row>
    <row r="4" spans="1:20" x14ac:dyDescent="0.25">
      <c r="A4" s="574"/>
      <c r="B4" s="379" t="s">
        <v>435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624"/>
    </row>
    <row r="5" spans="1:20" ht="15.75" thickBot="1" x14ac:dyDescent="0.3">
      <c r="A5" s="574"/>
      <c r="B5" s="639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624"/>
    </row>
    <row r="6" spans="1:20" ht="45" customHeight="1" x14ac:dyDescent="0.25">
      <c r="A6" s="574"/>
      <c r="B6" s="798" t="s">
        <v>192</v>
      </c>
      <c r="C6" s="799"/>
      <c r="D6" s="800"/>
      <c r="E6" s="801" t="s">
        <v>454</v>
      </c>
      <c r="F6" s="801"/>
      <c r="G6" s="801"/>
      <c r="H6" s="801"/>
      <c r="I6" s="801"/>
      <c r="J6" s="801"/>
      <c r="K6" s="801"/>
      <c r="L6" s="801"/>
      <c r="M6" s="801"/>
      <c r="N6" s="801"/>
      <c r="O6" s="802"/>
      <c r="P6" s="322"/>
      <c r="Q6" s="322"/>
      <c r="R6" s="322"/>
      <c r="S6" s="322"/>
      <c r="T6" s="624"/>
    </row>
    <row r="7" spans="1:20" ht="45" customHeight="1" thickBot="1" x14ac:dyDescent="0.3">
      <c r="A7" s="574"/>
      <c r="B7" s="768" t="s">
        <v>191</v>
      </c>
      <c r="C7" s="769"/>
      <c r="D7" s="770"/>
      <c r="E7" s="771" t="s">
        <v>455</v>
      </c>
      <c r="F7" s="771"/>
      <c r="G7" s="771"/>
      <c r="H7" s="771"/>
      <c r="I7" s="771"/>
      <c r="J7" s="771"/>
      <c r="K7" s="771"/>
      <c r="L7" s="771"/>
      <c r="M7" s="771"/>
      <c r="N7" s="771"/>
      <c r="O7" s="772"/>
      <c r="P7" s="322"/>
      <c r="Q7" s="322"/>
      <c r="R7" s="322"/>
      <c r="S7" s="322"/>
      <c r="T7" s="624"/>
    </row>
    <row r="8" spans="1:20" ht="27.75" customHeight="1" x14ac:dyDescent="0.25">
      <c r="A8" s="574"/>
      <c r="B8" s="640"/>
      <c r="C8" s="640"/>
      <c r="D8" s="640"/>
      <c r="E8" s="641"/>
      <c r="F8" s="641"/>
      <c r="G8" s="641"/>
      <c r="H8" s="641"/>
      <c r="I8" s="641"/>
      <c r="J8" s="641"/>
      <c r="K8" s="641"/>
      <c r="L8" s="641"/>
      <c r="M8" s="641"/>
      <c r="N8" s="641"/>
      <c r="O8" s="641"/>
      <c r="P8" s="322"/>
      <c r="Q8" s="322"/>
      <c r="R8" s="322"/>
      <c r="S8" s="322"/>
      <c r="T8" s="624"/>
    </row>
    <row r="9" spans="1:20" ht="18.75" customHeight="1" x14ac:dyDescent="0.25">
      <c r="A9" s="574"/>
      <c r="B9" s="793" t="s">
        <v>210</v>
      </c>
      <c r="C9" s="793"/>
      <c r="D9" s="793"/>
      <c r="E9" s="793"/>
      <c r="F9" s="793"/>
      <c r="G9" s="793"/>
      <c r="H9" s="793"/>
      <c r="I9" s="793"/>
      <c r="J9" s="793"/>
      <c r="K9" s="793"/>
      <c r="L9" s="793"/>
      <c r="M9" s="793"/>
      <c r="N9" s="793"/>
      <c r="O9" s="793"/>
      <c r="P9" s="793"/>
      <c r="Q9" s="793"/>
      <c r="R9" s="322"/>
      <c r="S9" s="322"/>
      <c r="T9" s="624"/>
    </row>
    <row r="10" spans="1:20" ht="19.5" customHeight="1" x14ac:dyDescent="0.25">
      <c r="A10" s="574"/>
      <c r="B10" s="793" t="s">
        <v>436</v>
      </c>
      <c r="C10" s="793"/>
      <c r="D10" s="793"/>
      <c r="E10" s="793"/>
      <c r="F10" s="793"/>
      <c r="G10" s="793"/>
      <c r="H10" s="793"/>
      <c r="I10" s="793"/>
      <c r="J10" s="793"/>
      <c r="K10" s="793"/>
      <c r="L10" s="793"/>
      <c r="M10" s="793"/>
      <c r="N10" s="793"/>
      <c r="O10" s="793"/>
      <c r="P10" s="793"/>
      <c r="Q10" s="793"/>
      <c r="R10" s="322"/>
      <c r="S10" s="322"/>
      <c r="T10" s="624"/>
    </row>
    <row r="11" spans="1:20" ht="36" customHeight="1" x14ac:dyDescent="0.25">
      <c r="A11" s="574"/>
      <c r="B11" s="793" t="s">
        <v>437</v>
      </c>
      <c r="C11" s="793"/>
      <c r="D11" s="793"/>
      <c r="E11" s="793"/>
      <c r="F11" s="793"/>
      <c r="G11" s="793"/>
      <c r="H11" s="793"/>
      <c r="I11" s="793"/>
      <c r="J11" s="793"/>
      <c r="K11" s="793"/>
      <c r="L11" s="793"/>
      <c r="M11" s="793"/>
      <c r="N11" s="793"/>
      <c r="O11" s="793"/>
      <c r="P11" s="793"/>
      <c r="Q11" s="793"/>
      <c r="R11" s="322"/>
      <c r="S11" s="322"/>
      <c r="T11" s="624"/>
    </row>
    <row r="12" spans="1:20" ht="29.25" customHeight="1" x14ac:dyDescent="0.25">
      <c r="A12" s="574"/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624"/>
    </row>
    <row r="13" spans="1:20" ht="33" x14ac:dyDescent="0.25">
      <c r="A13" s="573"/>
      <c r="B13" s="797" t="s">
        <v>286</v>
      </c>
      <c r="C13" s="797"/>
      <c r="D13" s="797"/>
      <c r="E13" s="797"/>
      <c r="F13" s="797"/>
      <c r="G13" s="797"/>
      <c r="H13" s="797"/>
      <c r="I13" s="797"/>
      <c r="J13" s="797"/>
      <c r="K13" s="797"/>
      <c r="L13" s="797"/>
      <c r="M13" s="797"/>
      <c r="N13" s="797"/>
      <c r="O13" s="797"/>
      <c r="P13" s="797"/>
      <c r="Q13" s="322"/>
      <c r="R13" s="322"/>
      <c r="S13" s="322"/>
      <c r="T13" s="624"/>
    </row>
    <row r="14" spans="1:20" ht="12.75" customHeight="1" x14ac:dyDescent="0.25">
      <c r="A14" s="575"/>
      <c r="B14" s="642"/>
      <c r="C14" s="642"/>
      <c r="D14" s="642"/>
      <c r="E14" s="642"/>
      <c r="F14" s="642"/>
      <c r="G14" s="642"/>
      <c r="H14" s="642"/>
      <c r="I14" s="642"/>
      <c r="J14" s="642"/>
      <c r="K14" s="642"/>
      <c r="L14" s="642"/>
      <c r="M14" s="642"/>
      <c r="N14" s="642"/>
      <c r="O14" s="642"/>
      <c r="P14" s="642"/>
      <c r="Q14" s="322"/>
      <c r="R14" s="322"/>
      <c r="S14" s="322"/>
      <c r="T14" s="624"/>
    </row>
    <row r="15" spans="1:20" ht="21" customHeight="1" x14ac:dyDescent="0.25">
      <c r="A15" s="575"/>
      <c r="B15" s="643" t="s">
        <v>438</v>
      </c>
      <c r="C15" s="642"/>
      <c r="D15" s="642"/>
      <c r="E15" s="642"/>
      <c r="F15" s="642"/>
      <c r="G15" s="642"/>
      <c r="H15" s="642"/>
      <c r="I15" s="642"/>
      <c r="J15" s="642"/>
      <c r="K15" s="642"/>
      <c r="L15" s="642"/>
      <c r="M15" s="642"/>
      <c r="N15" s="642"/>
      <c r="O15" s="642"/>
      <c r="P15" s="642"/>
      <c r="Q15" s="322"/>
      <c r="R15" s="322"/>
      <c r="S15" s="322"/>
      <c r="T15" s="624"/>
    </row>
    <row r="16" spans="1:20" ht="21" customHeight="1" x14ac:dyDescent="0.25">
      <c r="A16" s="574"/>
      <c r="B16" s="793" t="s">
        <v>439</v>
      </c>
      <c r="C16" s="793"/>
      <c r="D16" s="793"/>
      <c r="E16" s="793"/>
      <c r="F16" s="793"/>
      <c r="G16" s="793"/>
      <c r="H16" s="793"/>
      <c r="I16" s="793"/>
      <c r="J16" s="793"/>
      <c r="K16" s="793"/>
      <c r="L16" s="793"/>
      <c r="M16" s="793"/>
      <c r="N16" s="793"/>
      <c r="O16" s="793"/>
      <c r="P16" s="793"/>
      <c r="Q16" s="793"/>
      <c r="R16" s="322"/>
      <c r="S16" s="322"/>
      <c r="T16" s="624"/>
    </row>
    <row r="17" spans="1:20" ht="14.25" customHeight="1" thickBot="1" x14ac:dyDescent="0.3">
      <c r="A17" s="575"/>
      <c r="B17" s="642"/>
      <c r="C17" s="642"/>
      <c r="D17" s="642"/>
      <c r="E17" s="642"/>
      <c r="F17" s="642"/>
      <c r="G17" s="642"/>
      <c r="H17" s="642"/>
      <c r="I17" s="642"/>
      <c r="J17" s="642"/>
      <c r="K17" s="642"/>
      <c r="L17" s="642"/>
      <c r="M17" s="642"/>
      <c r="N17" s="642"/>
      <c r="O17" s="642"/>
      <c r="P17" s="642"/>
      <c r="Q17" s="322"/>
      <c r="R17" s="322"/>
      <c r="S17" s="322"/>
      <c r="T17" s="624"/>
    </row>
    <row r="18" spans="1:20" ht="35.1" customHeight="1" thickBot="1" x14ac:dyDescent="0.3">
      <c r="A18" s="574"/>
      <c r="B18" s="794" t="s">
        <v>101</v>
      </c>
      <c r="C18" s="795"/>
      <c r="D18" s="795"/>
      <c r="E18" s="795"/>
      <c r="F18" s="795"/>
      <c r="G18" s="795"/>
      <c r="H18" s="796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624"/>
    </row>
    <row r="19" spans="1:20" ht="35.1" customHeight="1" x14ac:dyDescent="0.25">
      <c r="A19" s="574"/>
      <c r="B19" s="333" t="s">
        <v>97</v>
      </c>
      <c r="C19" s="785" t="s">
        <v>98</v>
      </c>
      <c r="D19" s="786"/>
      <c r="E19" s="787"/>
      <c r="F19" s="785" t="s">
        <v>99</v>
      </c>
      <c r="G19" s="786"/>
      <c r="H19" s="791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S19" s="322"/>
      <c r="T19" s="624"/>
    </row>
    <row r="20" spans="1:20" ht="35.1" customHeight="1" thickBot="1" x14ac:dyDescent="0.3">
      <c r="A20" s="574"/>
      <c r="B20" s="415"/>
      <c r="C20" s="788"/>
      <c r="D20" s="789"/>
      <c r="E20" s="790"/>
      <c r="F20" s="788"/>
      <c r="G20" s="789"/>
      <c r="H20" s="79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624"/>
    </row>
    <row r="21" spans="1:20" ht="37.5" customHeight="1" x14ac:dyDescent="0.25">
      <c r="A21" s="574"/>
      <c r="B21" s="322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624"/>
    </row>
    <row r="22" spans="1:20" x14ac:dyDescent="0.25">
      <c r="A22" s="574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322"/>
      <c r="T22" s="624"/>
    </row>
    <row r="23" spans="1:20" x14ac:dyDescent="0.25">
      <c r="A23" s="574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322"/>
      <c r="T23" s="624"/>
    </row>
    <row r="24" spans="1:20" x14ac:dyDescent="0.25">
      <c r="A24" s="574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322"/>
      <c r="T24" s="624"/>
    </row>
    <row r="25" spans="1:20" x14ac:dyDescent="0.25">
      <c r="A25" s="574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322"/>
      <c r="T25" s="624"/>
    </row>
    <row r="26" spans="1:20" x14ac:dyDescent="0.25">
      <c r="A26" s="574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322"/>
      <c r="T26" s="624"/>
    </row>
    <row r="27" spans="1:20" x14ac:dyDescent="0.25">
      <c r="A27" s="574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322"/>
      <c r="T27" s="624"/>
    </row>
    <row r="28" spans="1:20" x14ac:dyDescent="0.25">
      <c r="A28" s="574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322"/>
      <c r="T28" s="624"/>
    </row>
    <row r="29" spans="1:20" x14ac:dyDescent="0.25">
      <c r="A29" s="574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322"/>
      <c r="T29" s="624"/>
    </row>
    <row r="30" spans="1:20" x14ac:dyDescent="0.25">
      <c r="A30" s="574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322"/>
      <c r="T30" s="624"/>
    </row>
    <row r="31" spans="1:20" x14ac:dyDescent="0.25">
      <c r="A31" s="574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322"/>
      <c r="T31" s="624"/>
    </row>
    <row r="32" spans="1:20" x14ac:dyDescent="0.25">
      <c r="A32" s="574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322"/>
      <c r="T32" s="624"/>
    </row>
    <row r="33" spans="1:20" x14ac:dyDescent="0.25">
      <c r="A33" s="574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322"/>
      <c r="T33" s="624"/>
    </row>
    <row r="34" spans="1:20" x14ac:dyDescent="0.25">
      <c r="A34" s="574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322"/>
      <c r="T34" s="624"/>
    </row>
    <row r="35" spans="1:20" x14ac:dyDescent="0.25">
      <c r="A35" s="574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322"/>
      <c r="T35" s="624"/>
    </row>
    <row r="36" spans="1:20" x14ac:dyDescent="0.25">
      <c r="A36" s="574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322"/>
      <c r="T36" s="624"/>
    </row>
    <row r="37" spans="1:20" x14ac:dyDescent="0.25">
      <c r="A37" s="574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322"/>
      <c r="T37" s="624"/>
    </row>
    <row r="38" spans="1:20" x14ac:dyDescent="0.25">
      <c r="A38" s="574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322"/>
      <c r="T38" s="624"/>
    </row>
    <row r="39" spans="1:20" x14ac:dyDescent="0.25">
      <c r="A39" s="574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322"/>
      <c r="T39" s="624"/>
    </row>
    <row r="40" spans="1:20" x14ac:dyDescent="0.25">
      <c r="A40" s="574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322"/>
      <c r="T40" s="624"/>
    </row>
    <row r="41" spans="1:20" x14ac:dyDescent="0.25">
      <c r="A41" s="574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322"/>
      <c r="T41" s="624"/>
    </row>
    <row r="42" spans="1:20" x14ac:dyDescent="0.25">
      <c r="A42" s="574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322"/>
      <c r="T42" s="624"/>
    </row>
    <row r="43" spans="1:20" x14ac:dyDescent="0.25">
      <c r="A43" s="574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322"/>
      <c r="T43" s="624"/>
    </row>
    <row r="44" spans="1:20" x14ac:dyDescent="0.25">
      <c r="A44" s="574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322"/>
      <c r="T44" s="624"/>
    </row>
    <row r="45" spans="1:20" x14ac:dyDescent="0.25">
      <c r="A45" s="574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322"/>
      <c r="T45" s="624"/>
    </row>
    <row r="46" spans="1:20" x14ac:dyDescent="0.25">
      <c r="A46" s="574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322"/>
      <c r="T46" s="624"/>
    </row>
    <row r="47" spans="1:20" x14ac:dyDescent="0.25">
      <c r="A47" s="574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322"/>
      <c r="T47" s="624"/>
    </row>
    <row r="48" spans="1:20" x14ac:dyDescent="0.25">
      <c r="A48" s="574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322"/>
      <c r="T48" s="624"/>
    </row>
    <row r="49" spans="1:20" x14ac:dyDescent="0.25">
      <c r="A49" s="574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322"/>
      <c r="T49" s="624"/>
    </row>
    <row r="50" spans="1:20" x14ac:dyDescent="0.25">
      <c r="A50" s="574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322"/>
      <c r="T50" s="624"/>
    </row>
    <row r="51" spans="1:20" x14ac:dyDescent="0.25">
      <c r="A51" s="574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322"/>
      <c r="T51" s="624"/>
    </row>
    <row r="52" spans="1:20" x14ac:dyDescent="0.25">
      <c r="A52" s="574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322"/>
      <c r="T52" s="624"/>
    </row>
    <row r="53" spans="1:20" x14ac:dyDescent="0.25">
      <c r="A53" s="574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322"/>
      <c r="T53" s="624"/>
    </row>
    <row r="54" spans="1:20" x14ac:dyDescent="0.25">
      <c r="A54" s="574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322"/>
      <c r="T54" s="624"/>
    </row>
    <row r="55" spans="1:20" ht="31.5" customHeight="1" thickBot="1" x14ac:dyDescent="0.3">
      <c r="A55" s="574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322"/>
      <c r="T55" s="624"/>
    </row>
    <row r="56" spans="1:20" ht="84.75" customHeight="1" thickBot="1" x14ac:dyDescent="0.3">
      <c r="A56" s="574"/>
      <c r="B56" s="773" t="s">
        <v>211</v>
      </c>
      <c r="C56" s="774"/>
      <c r="D56" s="774"/>
      <c r="E56" s="774"/>
      <c r="F56" s="774"/>
      <c r="G56" s="774"/>
      <c r="H56" s="774"/>
      <c r="I56" s="774"/>
      <c r="J56" s="774"/>
      <c r="K56" s="774"/>
      <c r="L56" s="774"/>
      <c r="M56" s="774"/>
      <c r="N56" s="774"/>
      <c r="O56" s="775"/>
      <c r="P56" s="143"/>
      <c r="Q56" s="143"/>
      <c r="R56" s="143"/>
      <c r="S56" s="322"/>
      <c r="T56" s="624"/>
    </row>
    <row r="57" spans="1:20" ht="18.75" thickBot="1" x14ac:dyDescent="0.3">
      <c r="A57" s="574"/>
      <c r="B57" s="776" t="s">
        <v>86</v>
      </c>
      <c r="C57" s="779"/>
      <c r="D57" s="779"/>
      <c r="E57" s="779"/>
      <c r="F57" s="779"/>
      <c r="G57" s="779"/>
      <c r="H57" s="779"/>
      <c r="I57" s="779"/>
      <c r="J57" s="779"/>
      <c r="K57" s="779"/>
      <c r="L57" s="779"/>
      <c r="M57" s="779"/>
      <c r="N57" s="779"/>
      <c r="O57" s="780"/>
      <c r="P57" s="143"/>
      <c r="Q57" s="143"/>
      <c r="R57" s="143"/>
      <c r="S57" s="322"/>
      <c r="T57" s="624"/>
    </row>
    <row r="58" spans="1:20" x14ac:dyDescent="0.25">
      <c r="A58" s="574"/>
      <c r="B58" s="777"/>
      <c r="C58" s="751" t="s">
        <v>87</v>
      </c>
      <c r="D58" s="752"/>
      <c r="E58" s="753"/>
      <c r="F58" s="751" t="s">
        <v>88</v>
      </c>
      <c r="G58" s="752"/>
      <c r="H58" s="781"/>
      <c r="I58" s="783"/>
      <c r="J58" s="782" t="s">
        <v>89</v>
      </c>
      <c r="K58" s="752"/>
      <c r="L58" s="753"/>
      <c r="M58" s="751" t="s">
        <v>90</v>
      </c>
      <c r="N58" s="752"/>
      <c r="O58" s="753"/>
      <c r="P58" s="143"/>
      <c r="Q58" s="143"/>
      <c r="R58" s="143"/>
      <c r="S58" s="322"/>
      <c r="T58" s="624"/>
    </row>
    <row r="59" spans="1:20" ht="15.75" thickBot="1" x14ac:dyDescent="0.3">
      <c r="A59" s="574"/>
      <c r="B59" s="778"/>
      <c r="C59" s="181" t="s">
        <v>91</v>
      </c>
      <c r="D59" s="182" t="s">
        <v>95</v>
      </c>
      <c r="E59" s="183" t="s">
        <v>96</v>
      </c>
      <c r="F59" s="181" t="s">
        <v>91</v>
      </c>
      <c r="G59" s="182" t="s">
        <v>95</v>
      </c>
      <c r="H59" s="184" t="s">
        <v>96</v>
      </c>
      <c r="I59" s="784"/>
      <c r="J59" s="185" t="s">
        <v>91</v>
      </c>
      <c r="K59" s="182" t="s">
        <v>95</v>
      </c>
      <c r="L59" s="183" t="s">
        <v>96</v>
      </c>
      <c r="M59" s="181" t="s">
        <v>91</v>
      </c>
      <c r="N59" s="182" t="s">
        <v>95</v>
      </c>
      <c r="O59" s="183" t="s">
        <v>96</v>
      </c>
      <c r="P59" s="143"/>
      <c r="Q59" s="143"/>
      <c r="R59" s="143"/>
      <c r="S59" s="322"/>
      <c r="T59" s="624"/>
    </row>
    <row r="60" spans="1:20" x14ac:dyDescent="0.25">
      <c r="A60" s="574"/>
      <c r="B60" s="751" t="s">
        <v>92</v>
      </c>
      <c r="C60" s="763">
        <v>3</v>
      </c>
      <c r="D60" s="757">
        <v>3</v>
      </c>
      <c r="E60" s="760">
        <v>2</v>
      </c>
      <c r="F60" s="763">
        <v>4</v>
      </c>
      <c r="G60" s="757">
        <v>4</v>
      </c>
      <c r="H60" s="754">
        <v>2</v>
      </c>
      <c r="I60" s="186" t="s">
        <v>196</v>
      </c>
      <c r="J60" s="187">
        <v>4.5</v>
      </c>
      <c r="K60" s="188">
        <v>4.5</v>
      </c>
      <c r="L60" s="189">
        <v>2.5</v>
      </c>
      <c r="M60" s="190">
        <v>5</v>
      </c>
      <c r="N60" s="188">
        <v>5</v>
      </c>
      <c r="O60" s="189">
        <v>3</v>
      </c>
      <c r="P60" s="143"/>
      <c r="Q60" s="143"/>
      <c r="R60" s="143"/>
      <c r="S60" s="322"/>
      <c r="T60" s="624"/>
    </row>
    <row r="61" spans="1:20" x14ac:dyDescent="0.25">
      <c r="A61" s="574"/>
      <c r="B61" s="766"/>
      <c r="C61" s="764"/>
      <c r="D61" s="758"/>
      <c r="E61" s="761"/>
      <c r="F61" s="764"/>
      <c r="G61" s="758"/>
      <c r="H61" s="755"/>
      <c r="I61" s="191" t="s">
        <v>197</v>
      </c>
      <c r="J61" s="192">
        <v>4.5</v>
      </c>
      <c r="K61" s="193">
        <v>4.5</v>
      </c>
      <c r="L61" s="194">
        <v>2.75</v>
      </c>
      <c r="M61" s="195">
        <v>5</v>
      </c>
      <c r="N61" s="193">
        <v>5</v>
      </c>
      <c r="O61" s="196">
        <v>3.5</v>
      </c>
      <c r="P61" s="143"/>
      <c r="Q61" s="143"/>
      <c r="R61" s="143"/>
      <c r="S61" s="322"/>
      <c r="T61" s="624"/>
    </row>
    <row r="62" spans="1:20" ht="15.75" thickBot="1" x14ac:dyDescent="0.3">
      <c r="A62" s="574"/>
      <c r="B62" s="767"/>
      <c r="C62" s="765"/>
      <c r="D62" s="759"/>
      <c r="E62" s="762"/>
      <c r="F62" s="765"/>
      <c r="G62" s="759"/>
      <c r="H62" s="756"/>
      <c r="I62" s="197" t="s">
        <v>198</v>
      </c>
      <c r="J62" s="198">
        <v>4.5</v>
      </c>
      <c r="K62" s="199">
        <v>4.5</v>
      </c>
      <c r="L62" s="200">
        <v>3</v>
      </c>
      <c r="M62" s="201">
        <v>5</v>
      </c>
      <c r="N62" s="199">
        <v>5</v>
      </c>
      <c r="O62" s="200">
        <v>4</v>
      </c>
      <c r="P62" s="143"/>
      <c r="Q62" s="143"/>
      <c r="R62" s="143"/>
      <c r="S62" s="322"/>
      <c r="T62" s="624"/>
    </row>
    <row r="63" spans="1:20" x14ac:dyDescent="0.25">
      <c r="A63" s="574"/>
      <c r="B63" s="751" t="s">
        <v>93</v>
      </c>
      <c r="C63" s="763">
        <v>3.5</v>
      </c>
      <c r="D63" s="757">
        <v>3.5</v>
      </c>
      <c r="E63" s="760">
        <v>2.5</v>
      </c>
      <c r="F63" s="763">
        <v>4.5</v>
      </c>
      <c r="G63" s="757">
        <v>4.5</v>
      </c>
      <c r="H63" s="754">
        <v>2.5</v>
      </c>
      <c r="I63" s="186" t="s">
        <v>196</v>
      </c>
      <c r="J63" s="187">
        <v>5</v>
      </c>
      <c r="K63" s="188">
        <v>5</v>
      </c>
      <c r="L63" s="189">
        <v>3</v>
      </c>
      <c r="M63" s="190">
        <v>5.5</v>
      </c>
      <c r="N63" s="188">
        <v>5.5</v>
      </c>
      <c r="O63" s="189">
        <v>3.5</v>
      </c>
      <c r="P63" s="143"/>
      <c r="Q63" s="143"/>
      <c r="R63" s="143"/>
      <c r="S63" s="322"/>
      <c r="T63" s="624"/>
    </row>
    <row r="64" spans="1:20" x14ac:dyDescent="0.25">
      <c r="A64" s="574"/>
      <c r="B64" s="766"/>
      <c r="C64" s="764"/>
      <c r="D64" s="758"/>
      <c r="E64" s="761"/>
      <c r="F64" s="764"/>
      <c r="G64" s="758"/>
      <c r="H64" s="755"/>
      <c r="I64" s="191" t="s">
        <v>197</v>
      </c>
      <c r="J64" s="192">
        <v>5</v>
      </c>
      <c r="K64" s="193">
        <v>5</v>
      </c>
      <c r="L64" s="196">
        <v>3.25</v>
      </c>
      <c r="M64" s="195">
        <v>5.5</v>
      </c>
      <c r="N64" s="193">
        <v>5.5</v>
      </c>
      <c r="O64" s="196">
        <v>4</v>
      </c>
      <c r="P64" s="143"/>
      <c r="Q64" s="143"/>
      <c r="R64" s="143"/>
      <c r="S64" s="322"/>
      <c r="T64" s="624"/>
    </row>
    <row r="65" spans="1:20" ht="15.75" thickBot="1" x14ac:dyDescent="0.3">
      <c r="A65" s="574"/>
      <c r="B65" s="767"/>
      <c r="C65" s="765"/>
      <c r="D65" s="759"/>
      <c r="E65" s="762"/>
      <c r="F65" s="765"/>
      <c r="G65" s="759"/>
      <c r="H65" s="756"/>
      <c r="I65" s="197" t="s">
        <v>198</v>
      </c>
      <c r="J65" s="198">
        <v>5</v>
      </c>
      <c r="K65" s="199">
        <v>5</v>
      </c>
      <c r="L65" s="200">
        <v>3.5</v>
      </c>
      <c r="M65" s="201">
        <v>5.5</v>
      </c>
      <c r="N65" s="199">
        <v>5.5</v>
      </c>
      <c r="O65" s="200">
        <v>4.5</v>
      </c>
      <c r="P65" s="143"/>
      <c r="Q65" s="143"/>
      <c r="R65" s="143"/>
      <c r="S65" s="322"/>
      <c r="T65" s="624"/>
    </row>
    <row r="66" spans="1:20" x14ac:dyDescent="0.25">
      <c r="A66" s="574"/>
      <c r="B66" s="751" t="s">
        <v>94</v>
      </c>
      <c r="C66" s="763">
        <v>4</v>
      </c>
      <c r="D66" s="758">
        <v>4</v>
      </c>
      <c r="E66" s="761">
        <v>3</v>
      </c>
      <c r="F66" s="764">
        <v>5</v>
      </c>
      <c r="G66" s="758">
        <v>5</v>
      </c>
      <c r="H66" s="755">
        <v>3</v>
      </c>
      <c r="I66" s="202" t="s">
        <v>196</v>
      </c>
      <c r="J66" s="203">
        <v>5.5</v>
      </c>
      <c r="K66" s="204">
        <v>5.5</v>
      </c>
      <c r="L66" s="205">
        <v>3.5</v>
      </c>
      <c r="M66" s="206">
        <v>6</v>
      </c>
      <c r="N66" s="204">
        <v>6</v>
      </c>
      <c r="O66" s="205">
        <v>4</v>
      </c>
      <c r="P66" s="143"/>
      <c r="Q66" s="143"/>
      <c r="R66" s="143"/>
      <c r="S66" s="322"/>
      <c r="T66" s="624"/>
    </row>
    <row r="67" spans="1:20" x14ac:dyDescent="0.25">
      <c r="A67" s="574"/>
      <c r="B67" s="766"/>
      <c r="C67" s="764"/>
      <c r="D67" s="758"/>
      <c r="E67" s="761"/>
      <c r="F67" s="764"/>
      <c r="G67" s="758"/>
      <c r="H67" s="755"/>
      <c r="I67" s="191" t="s">
        <v>197</v>
      </c>
      <c r="J67" s="192">
        <v>5.5</v>
      </c>
      <c r="K67" s="193">
        <v>5.5</v>
      </c>
      <c r="L67" s="196">
        <v>3.75</v>
      </c>
      <c r="M67" s="195">
        <v>6</v>
      </c>
      <c r="N67" s="193">
        <v>6</v>
      </c>
      <c r="O67" s="196">
        <v>4.5</v>
      </c>
      <c r="P67" s="143"/>
      <c r="Q67" s="143"/>
      <c r="R67" s="143"/>
      <c r="S67" s="322"/>
      <c r="T67" s="624"/>
    </row>
    <row r="68" spans="1:20" ht="15.75" thickBot="1" x14ac:dyDescent="0.3">
      <c r="A68" s="574"/>
      <c r="B68" s="767"/>
      <c r="C68" s="765"/>
      <c r="D68" s="759"/>
      <c r="E68" s="762"/>
      <c r="F68" s="765"/>
      <c r="G68" s="759"/>
      <c r="H68" s="756"/>
      <c r="I68" s="197" t="s">
        <v>198</v>
      </c>
      <c r="J68" s="198">
        <v>5.5</v>
      </c>
      <c r="K68" s="199">
        <v>5.5</v>
      </c>
      <c r="L68" s="200">
        <v>4</v>
      </c>
      <c r="M68" s="201">
        <v>6</v>
      </c>
      <c r="N68" s="199">
        <v>6</v>
      </c>
      <c r="O68" s="200">
        <v>5</v>
      </c>
      <c r="P68" s="143"/>
      <c r="Q68" s="143"/>
      <c r="R68" s="143"/>
      <c r="S68" s="322"/>
      <c r="T68" s="624"/>
    </row>
    <row r="69" spans="1:20" x14ac:dyDescent="0.25">
      <c r="A69" s="633"/>
      <c r="B69" s="644"/>
      <c r="C69" s="644"/>
      <c r="D69" s="644"/>
      <c r="E69" s="644"/>
      <c r="F69" s="644"/>
      <c r="G69" s="644"/>
      <c r="H69" s="644"/>
      <c r="I69" s="644"/>
      <c r="J69" s="644"/>
      <c r="K69" s="644"/>
      <c r="L69" s="644"/>
      <c r="M69" s="644"/>
      <c r="N69" s="644"/>
      <c r="O69" s="644"/>
      <c r="P69" s="645"/>
      <c r="Q69" s="645"/>
      <c r="R69" s="645"/>
      <c r="S69" s="634"/>
      <c r="T69" s="635"/>
    </row>
    <row r="70" spans="1:20" x14ac:dyDescent="0.25">
      <c r="T70" s="69"/>
    </row>
  </sheetData>
  <sheetProtection algorithmName="SHA-512" hashValue="nbU+7EjZiyTyjzW60dM1kUCwA9XNPoAXfwmjZEn7J5SXkId47o6sbtLVmcZHgaHQUol+frfTJp1CSx1oMRVJOA==" saltValue="/b1u5s47Amj/VR98XFoZ7A==" spinCount="100000" sheet="1" selectLockedCells="1"/>
  <protectedRanges>
    <protectedRange sqref="E6:O7 B20:H20" name="Range1"/>
  </protectedRanges>
  <mergeCells count="44">
    <mergeCell ref="B2:P2"/>
    <mergeCell ref="B9:Q9"/>
    <mergeCell ref="B10:Q10"/>
    <mergeCell ref="B11:Q11"/>
    <mergeCell ref="B13:P13"/>
    <mergeCell ref="B6:D6"/>
    <mergeCell ref="E6:O6"/>
    <mergeCell ref="C19:E19"/>
    <mergeCell ref="C20:E20"/>
    <mergeCell ref="F19:H19"/>
    <mergeCell ref="F20:H20"/>
    <mergeCell ref="B16:Q16"/>
    <mergeCell ref="B18:H18"/>
    <mergeCell ref="H66:H68"/>
    <mergeCell ref="B63:B65"/>
    <mergeCell ref="B66:B68"/>
    <mergeCell ref="B7:D7"/>
    <mergeCell ref="B60:B62"/>
    <mergeCell ref="E7:O7"/>
    <mergeCell ref="C60:C62"/>
    <mergeCell ref="B56:O56"/>
    <mergeCell ref="B57:B59"/>
    <mergeCell ref="C57:O57"/>
    <mergeCell ref="F58:H58"/>
    <mergeCell ref="J58:L58"/>
    <mergeCell ref="M58:O58"/>
    <mergeCell ref="C66:C68"/>
    <mergeCell ref="C63:C65"/>
    <mergeCell ref="I58:I59"/>
    <mergeCell ref="D66:D68"/>
    <mergeCell ref="E66:E68"/>
    <mergeCell ref="F66:F68"/>
    <mergeCell ref="G66:G68"/>
    <mergeCell ref="D63:D65"/>
    <mergeCell ref="E63:E65"/>
    <mergeCell ref="F63:F65"/>
    <mergeCell ref="G63:G65"/>
    <mergeCell ref="C58:E58"/>
    <mergeCell ref="H63:H65"/>
    <mergeCell ref="D60:D62"/>
    <mergeCell ref="E60:E62"/>
    <mergeCell ref="F60:F62"/>
    <mergeCell ref="G60:G62"/>
    <mergeCell ref="H60:H62"/>
  </mergeCells>
  <printOptions horizontalCentered="1" verticalCentered="1"/>
  <pageMargins left="0.78740157480314965" right="0.78740157480314965" top="1.1811023622047245" bottom="0.59055118110236227" header="0.51181102362204722" footer="0.51181102362204722"/>
  <pageSetup paperSize="9" scale="65" orientation="portrait" r:id="rId1"/>
  <headerFooter>
    <oddHeader>&amp;L&amp;"Times New Roman,Halvfet"&amp;16Microbial barriere analysis (MBA)
Operational tool&amp;C&amp;"Times New Roman,Halvfet"&amp;16&amp;A&amp;R&amp;"Times New Roman,Halvfet"&amp;16Page &amp;P of &amp;N
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pageSetUpPr fitToPage="1"/>
  </sheetPr>
  <dimension ref="A1:M29"/>
  <sheetViews>
    <sheetView topLeftCell="A10" zoomScaleNormal="100" zoomScalePageLayoutView="90" workbookViewId="0">
      <selection activeCell="H19" sqref="H19"/>
    </sheetView>
  </sheetViews>
  <sheetFormatPr baseColWidth="10" defaultColWidth="10.7109375" defaultRowHeight="15" x14ac:dyDescent="0.25"/>
  <cols>
    <col min="1" max="1" width="3" style="1" customWidth="1"/>
    <col min="2" max="2" width="14.42578125" style="37" customWidth="1"/>
    <col min="3" max="3" width="25.5703125" style="1" customWidth="1"/>
    <col min="4" max="4" width="100.140625" style="1" customWidth="1"/>
    <col min="5" max="5" width="9.7109375" style="37" customWidth="1"/>
    <col min="6" max="6" width="8.42578125" style="37" customWidth="1"/>
    <col min="7" max="7" width="10.28515625" style="37" customWidth="1"/>
    <col min="8" max="8" width="13.28515625" style="61" customWidth="1"/>
    <col min="9" max="9" width="11.42578125" style="37" customWidth="1"/>
    <col min="10" max="10" width="9.28515625" style="1" customWidth="1"/>
    <col min="11" max="11" width="10.7109375" style="1" customWidth="1"/>
    <col min="12" max="16384" width="10.7109375" style="1"/>
  </cols>
  <sheetData>
    <row r="1" spans="1:12" ht="15.75" thickBot="1" x14ac:dyDescent="0.3">
      <c r="A1" s="619"/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38"/>
    </row>
    <row r="2" spans="1:12" ht="28.5" customHeight="1" x14ac:dyDescent="0.25">
      <c r="A2" s="574"/>
      <c r="B2" s="803" t="s">
        <v>190</v>
      </c>
      <c r="C2" s="804"/>
      <c r="D2" s="592" t="str">
        <f>Start!$E$6</f>
        <v>BB</v>
      </c>
      <c r="E2" s="556"/>
      <c r="F2" s="556"/>
      <c r="G2" s="556"/>
      <c r="H2" s="556"/>
      <c r="I2" s="556"/>
      <c r="J2" s="212"/>
      <c r="K2" s="212"/>
      <c r="L2" s="646"/>
    </row>
    <row r="3" spans="1:12" ht="31.5" customHeight="1" thickBot="1" x14ac:dyDescent="0.3">
      <c r="A3" s="574"/>
      <c r="B3" s="805" t="s">
        <v>191</v>
      </c>
      <c r="C3" s="806"/>
      <c r="D3" s="593" t="str">
        <f>Start!$E$7</f>
        <v>VV</v>
      </c>
      <c r="E3" s="556"/>
      <c r="F3" s="556"/>
      <c r="G3" s="556"/>
      <c r="H3" s="556"/>
      <c r="I3" s="556"/>
      <c r="J3" s="212"/>
      <c r="K3" s="212"/>
      <c r="L3" s="646"/>
    </row>
    <row r="4" spans="1:12" ht="18" customHeight="1" thickBot="1" x14ac:dyDescent="0.3">
      <c r="A4" s="574"/>
      <c r="B4" s="834"/>
      <c r="C4" s="834"/>
      <c r="D4" s="834"/>
      <c r="E4" s="556"/>
      <c r="F4" s="556"/>
      <c r="G4" s="556"/>
      <c r="H4" s="556"/>
      <c r="I4" s="556"/>
      <c r="J4" s="212"/>
      <c r="K4" s="212"/>
      <c r="L4" s="646"/>
    </row>
    <row r="5" spans="1:12" ht="47.25" customHeight="1" thickBot="1" x14ac:dyDescent="0.3">
      <c r="A5" s="574"/>
      <c r="B5" s="816" t="s">
        <v>293</v>
      </c>
      <c r="C5" s="817"/>
      <c r="D5" s="817"/>
      <c r="E5" s="154" t="s">
        <v>97</v>
      </c>
      <c r="F5" s="155" t="s">
        <v>98</v>
      </c>
      <c r="G5" s="156" t="s">
        <v>99</v>
      </c>
      <c r="H5" s="414" t="s">
        <v>63</v>
      </c>
      <c r="I5" s="157" t="s">
        <v>97</v>
      </c>
      <c r="J5" s="155" t="s">
        <v>98</v>
      </c>
      <c r="K5" s="156" t="s">
        <v>99</v>
      </c>
      <c r="L5" s="646"/>
    </row>
    <row r="6" spans="1:12" ht="31.5" customHeight="1" x14ac:dyDescent="0.25">
      <c r="A6" s="574"/>
      <c r="B6" s="818" t="s">
        <v>203</v>
      </c>
      <c r="C6" s="821" t="s">
        <v>81</v>
      </c>
      <c r="D6" s="158" t="s">
        <v>62</v>
      </c>
      <c r="E6" s="159">
        <v>0.75</v>
      </c>
      <c r="F6" s="160">
        <v>0.75</v>
      </c>
      <c r="G6" s="161">
        <v>0.5</v>
      </c>
      <c r="H6" s="399" t="s">
        <v>17</v>
      </c>
      <c r="I6" s="159">
        <f>IF(H6="nei",0,$E$6)</f>
        <v>0</v>
      </c>
      <c r="J6" s="160">
        <f>IF(H6="nei",0,$F$6)</f>
        <v>0</v>
      </c>
      <c r="K6" s="161">
        <f>IF(H6="nei",0,$G$6)</f>
        <v>0</v>
      </c>
      <c r="L6" s="646"/>
    </row>
    <row r="7" spans="1:12" ht="33.75" customHeight="1" x14ac:dyDescent="0.25">
      <c r="A7" s="574"/>
      <c r="B7" s="819"/>
      <c r="C7" s="822"/>
      <c r="D7" s="162" t="s">
        <v>144</v>
      </c>
      <c r="E7" s="163">
        <v>0.5</v>
      </c>
      <c r="F7" s="164">
        <v>0.5</v>
      </c>
      <c r="G7" s="165">
        <v>0.25</v>
      </c>
      <c r="H7" s="400" t="s">
        <v>17</v>
      </c>
      <c r="I7" s="166">
        <f>IF(H7="nei",0,$E$6)</f>
        <v>0</v>
      </c>
      <c r="J7" s="167">
        <f>IF(H7="nei",0,$F$7)</f>
        <v>0</v>
      </c>
      <c r="K7" s="168">
        <f>IF(H7="nei",0,$G$7)</f>
        <v>0</v>
      </c>
      <c r="L7" s="646"/>
    </row>
    <row r="8" spans="1:12" ht="36.75" customHeight="1" x14ac:dyDescent="0.25">
      <c r="A8" s="574"/>
      <c r="B8" s="819"/>
      <c r="C8" s="822"/>
      <c r="D8" s="162" t="s">
        <v>145</v>
      </c>
      <c r="E8" s="163">
        <v>0.25</v>
      </c>
      <c r="F8" s="164">
        <v>0.25</v>
      </c>
      <c r="G8" s="165">
        <v>0.15</v>
      </c>
      <c r="H8" s="400" t="s">
        <v>17</v>
      </c>
      <c r="I8" s="169">
        <f>IF(H8="nei",0,$E$8)</f>
        <v>0</v>
      </c>
      <c r="J8" s="167">
        <f>IF(H8="nei",0,$F$8)</f>
        <v>0</v>
      </c>
      <c r="K8" s="168">
        <f>IF(H8="nei",0,$G$8)</f>
        <v>0</v>
      </c>
      <c r="L8" s="646"/>
    </row>
    <row r="9" spans="1:12" ht="28.5" customHeight="1" x14ac:dyDescent="0.25">
      <c r="A9" s="574"/>
      <c r="B9" s="819"/>
      <c r="C9" s="823" t="s">
        <v>84</v>
      </c>
      <c r="D9" s="162" t="s">
        <v>85</v>
      </c>
      <c r="E9" s="163">
        <v>0.75</v>
      </c>
      <c r="F9" s="164">
        <v>0.75</v>
      </c>
      <c r="G9" s="165">
        <v>0.5</v>
      </c>
      <c r="H9" s="400" t="s">
        <v>17</v>
      </c>
      <c r="I9" s="169">
        <f>IF(H9="nei",0,$E$9)</f>
        <v>0</v>
      </c>
      <c r="J9" s="167">
        <f>IF(H9="nei",0,$F$9)</f>
        <v>0</v>
      </c>
      <c r="K9" s="168">
        <f>IF(H9="nei",0,$G$9)</f>
        <v>0</v>
      </c>
      <c r="L9" s="646"/>
    </row>
    <row r="10" spans="1:12" ht="30.75" customHeight="1" x14ac:dyDescent="0.25">
      <c r="A10" s="574"/>
      <c r="B10" s="819"/>
      <c r="C10" s="822"/>
      <c r="D10" s="162" t="s">
        <v>146</v>
      </c>
      <c r="E10" s="163">
        <v>0.25</v>
      </c>
      <c r="F10" s="164">
        <v>0.25</v>
      </c>
      <c r="G10" s="165">
        <v>0.15</v>
      </c>
      <c r="H10" s="400" t="s">
        <v>17</v>
      </c>
      <c r="I10" s="169">
        <f>IF(H10="nei",0,$E$10)</f>
        <v>0</v>
      </c>
      <c r="J10" s="167">
        <f>IF(H10="nei",0,$F$8)</f>
        <v>0</v>
      </c>
      <c r="K10" s="168">
        <f>IF(H10="nei",0,$G$10)</f>
        <v>0</v>
      </c>
      <c r="L10" s="646"/>
    </row>
    <row r="11" spans="1:12" ht="28.5" x14ac:dyDescent="0.25">
      <c r="A11" s="574"/>
      <c r="B11" s="819"/>
      <c r="C11" s="822"/>
      <c r="D11" s="162" t="s">
        <v>195</v>
      </c>
      <c r="E11" s="163">
        <v>0.25</v>
      </c>
      <c r="F11" s="164">
        <v>0.25</v>
      </c>
      <c r="G11" s="165">
        <v>0.15</v>
      </c>
      <c r="H11" s="400" t="s">
        <v>17</v>
      </c>
      <c r="I11" s="169">
        <f>IF(H11="nei",0,$E$11)</f>
        <v>0</v>
      </c>
      <c r="J11" s="167">
        <f>IF(H11="nei",0,$F$11)</f>
        <v>0</v>
      </c>
      <c r="K11" s="168">
        <f>IF(H11="nei",0,$G$11)</f>
        <v>0</v>
      </c>
      <c r="L11" s="646"/>
    </row>
    <row r="12" spans="1:12" ht="33.75" customHeight="1" x14ac:dyDescent="0.25">
      <c r="A12" s="574"/>
      <c r="B12" s="819"/>
      <c r="C12" s="824" t="s">
        <v>36</v>
      </c>
      <c r="D12" s="162" t="s">
        <v>80</v>
      </c>
      <c r="E12" s="163">
        <v>0.5</v>
      </c>
      <c r="F12" s="164">
        <v>0.5</v>
      </c>
      <c r="G12" s="165">
        <v>0.25</v>
      </c>
      <c r="H12" s="400" t="s">
        <v>17</v>
      </c>
      <c r="I12" s="169">
        <f>IF(H12="nei",0,$E$12)</f>
        <v>0</v>
      </c>
      <c r="J12" s="167">
        <f>IF(H12="nei",0,$F$12)</f>
        <v>0</v>
      </c>
      <c r="K12" s="168">
        <f>IF(H12="nei",0,$G$12)</f>
        <v>0</v>
      </c>
      <c r="L12" s="646"/>
    </row>
    <row r="13" spans="1:12" ht="36.75" customHeight="1" thickBot="1" x14ac:dyDescent="0.3">
      <c r="A13" s="574"/>
      <c r="B13" s="819"/>
      <c r="C13" s="825"/>
      <c r="D13" s="162" t="s">
        <v>82</v>
      </c>
      <c r="E13" s="163">
        <v>0.25</v>
      </c>
      <c r="F13" s="164">
        <v>0.25</v>
      </c>
      <c r="G13" s="165">
        <v>0.15</v>
      </c>
      <c r="H13" s="400" t="s">
        <v>17</v>
      </c>
      <c r="I13" s="169">
        <f>IF(H13="nei",0,$E$13)</f>
        <v>0</v>
      </c>
      <c r="J13" s="167">
        <f>IF(H13="nei",0,$F$13)</f>
        <v>0</v>
      </c>
      <c r="K13" s="168">
        <f>IF(H13="nei",0,$G$13)</f>
        <v>0</v>
      </c>
      <c r="L13" s="646"/>
    </row>
    <row r="14" spans="1:12" ht="35.25" customHeight="1" thickBot="1" x14ac:dyDescent="0.3">
      <c r="A14" s="574"/>
      <c r="B14" s="820"/>
      <c r="C14" s="826" t="s">
        <v>409</v>
      </c>
      <c r="D14" s="827"/>
      <c r="E14" s="827"/>
      <c r="F14" s="827"/>
      <c r="G14" s="827"/>
      <c r="H14" s="828"/>
      <c r="I14" s="170">
        <f>IF(SUM(I6:I13)&gt;2,2,SUM(I6:I13))</f>
        <v>0</v>
      </c>
      <c r="J14" s="171">
        <f>IF(SUM(J6:J13)&gt;2,2,SUM(J6:J13))</f>
        <v>0</v>
      </c>
      <c r="K14" s="172">
        <f>IF(SUM(K6:K13)&gt;1.25,1.25,SUM(K6:K13))</f>
        <v>0</v>
      </c>
      <c r="L14" s="646"/>
    </row>
    <row r="15" spans="1:12" ht="15.75" customHeight="1" thickBot="1" x14ac:dyDescent="0.3">
      <c r="A15" s="574"/>
      <c r="B15" s="836"/>
      <c r="C15" s="836"/>
      <c r="D15" s="836"/>
      <c r="E15" s="836"/>
      <c r="F15" s="836"/>
      <c r="G15" s="836"/>
      <c r="H15" s="836"/>
      <c r="I15" s="836"/>
      <c r="J15" s="836"/>
      <c r="K15" s="836"/>
      <c r="L15" s="646"/>
    </row>
    <row r="16" spans="1:12" ht="24" customHeight="1" x14ac:dyDescent="0.25">
      <c r="A16" s="574"/>
      <c r="B16" s="832" t="s">
        <v>202</v>
      </c>
      <c r="C16" s="810" t="s">
        <v>288</v>
      </c>
      <c r="D16" s="173" t="s">
        <v>216</v>
      </c>
      <c r="E16" s="174">
        <v>0.5</v>
      </c>
      <c r="F16" s="175">
        <v>0.5</v>
      </c>
      <c r="G16" s="176">
        <v>0.25</v>
      </c>
      <c r="H16" s="410" t="s">
        <v>17</v>
      </c>
      <c r="I16" s="166">
        <f>IF(H16="nei",0,$E$16)</f>
        <v>0</v>
      </c>
      <c r="J16" s="177">
        <f>IF(H16="nei",0,$F$16)</f>
        <v>0</v>
      </c>
      <c r="K16" s="178">
        <f>IF(H16="nei",0,$G$16)</f>
        <v>0</v>
      </c>
      <c r="L16" s="646"/>
    </row>
    <row r="17" spans="1:13" ht="24" customHeight="1" x14ac:dyDescent="0.25">
      <c r="A17" s="574"/>
      <c r="B17" s="832"/>
      <c r="C17" s="811"/>
      <c r="D17" s="179" t="s">
        <v>217</v>
      </c>
      <c r="E17" s="163">
        <v>0.25</v>
      </c>
      <c r="F17" s="164">
        <v>0.25</v>
      </c>
      <c r="G17" s="165">
        <v>0.15</v>
      </c>
      <c r="H17" s="411" t="s">
        <v>17</v>
      </c>
      <c r="I17" s="169">
        <f>IF(H17="nei",0,$E$17)</f>
        <v>0</v>
      </c>
      <c r="J17" s="167">
        <f>IF(H17="nei",0,$F$17)</f>
        <v>0</v>
      </c>
      <c r="K17" s="168">
        <f>IF(H17="nei",0,$G$17)</f>
        <v>0</v>
      </c>
      <c r="L17" s="646"/>
    </row>
    <row r="18" spans="1:13" ht="37.5" customHeight="1" x14ac:dyDescent="0.25">
      <c r="A18" s="574"/>
      <c r="B18" s="832"/>
      <c r="C18" s="811" t="s">
        <v>289</v>
      </c>
      <c r="D18" s="180" t="s">
        <v>290</v>
      </c>
      <c r="E18" s="813"/>
      <c r="F18" s="814"/>
      <c r="G18" s="814"/>
      <c r="H18" s="815"/>
      <c r="I18" s="807"/>
      <c r="J18" s="808"/>
      <c r="K18" s="809"/>
      <c r="L18" s="646"/>
    </row>
    <row r="19" spans="1:13" ht="23.25" customHeight="1" x14ac:dyDescent="0.25">
      <c r="A19" s="574"/>
      <c r="B19" s="832"/>
      <c r="C19" s="811"/>
      <c r="D19" s="210" t="s">
        <v>429</v>
      </c>
      <c r="E19" s="163">
        <v>0.5</v>
      </c>
      <c r="F19" s="164">
        <v>0.5</v>
      </c>
      <c r="G19" s="165">
        <v>0.25</v>
      </c>
      <c r="H19" s="411" t="s">
        <v>17</v>
      </c>
      <c r="I19" s="169">
        <f>IF(H19="nei",0,$E$19)</f>
        <v>0</v>
      </c>
      <c r="J19" s="167">
        <f>IF(H19="nei",0,$F$19)</f>
        <v>0</v>
      </c>
      <c r="K19" s="168">
        <f>IF(H19="nei",0,$G$19)</f>
        <v>0</v>
      </c>
      <c r="L19" s="646"/>
    </row>
    <row r="20" spans="1:13" ht="22.5" customHeight="1" x14ac:dyDescent="0.25">
      <c r="A20" s="574"/>
      <c r="B20" s="832"/>
      <c r="C20" s="811"/>
      <c r="D20" s="210" t="s">
        <v>430</v>
      </c>
      <c r="E20" s="163">
        <v>0.25</v>
      </c>
      <c r="F20" s="164">
        <v>0.25</v>
      </c>
      <c r="G20" s="165">
        <v>0.15</v>
      </c>
      <c r="H20" s="411" t="s">
        <v>17</v>
      </c>
      <c r="I20" s="169">
        <f>IF(H20="nei",0,$E$20)</f>
        <v>0</v>
      </c>
      <c r="J20" s="167">
        <f>IF(H20="nei",0,$F$20)</f>
        <v>0</v>
      </c>
      <c r="K20" s="168">
        <f>IF(H20="nei",0,$G$20)</f>
        <v>0</v>
      </c>
      <c r="L20" s="646"/>
    </row>
    <row r="21" spans="1:13" ht="22.5" customHeight="1" thickBot="1" x14ac:dyDescent="0.3">
      <c r="A21" s="574"/>
      <c r="B21" s="832"/>
      <c r="C21" s="812"/>
      <c r="D21" s="211" t="s">
        <v>204</v>
      </c>
      <c r="E21" s="207">
        <v>0.25</v>
      </c>
      <c r="F21" s="208">
        <v>0.25</v>
      </c>
      <c r="G21" s="209">
        <v>0.15</v>
      </c>
      <c r="H21" s="412" t="s">
        <v>17</v>
      </c>
      <c r="I21" s="169">
        <f>IF(H21="nei",0,$E$21)</f>
        <v>0</v>
      </c>
      <c r="J21" s="167">
        <f>IF(H21="nei",0,$F$21)</f>
        <v>0</v>
      </c>
      <c r="K21" s="168">
        <f>IF(H21="nei",0,$G$21)</f>
        <v>0</v>
      </c>
      <c r="L21" s="646"/>
    </row>
    <row r="22" spans="1:13" ht="37.5" customHeight="1" thickBot="1" x14ac:dyDescent="0.3">
      <c r="A22" s="574"/>
      <c r="B22" s="833"/>
      <c r="C22" s="826" t="s">
        <v>291</v>
      </c>
      <c r="D22" s="827"/>
      <c r="E22" s="827"/>
      <c r="F22" s="827"/>
      <c r="G22" s="827"/>
      <c r="H22" s="828"/>
      <c r="I22" s="170">
        <f>IF(SUM(I16:I21)&gt;=0.75,"0,75",SUM(I16:I21))</f>
        <v>0</v>
      </c>
      <c r="J22" s="171">
        <f>IF(SUM(J16:J21)&gt;=0.75,"0,75",SUM(J16:J21))</f>
        <v>0</v>
      </c>
      <c r="K22" s="172">
        <f>IF(SUM(K16:K21)&gt;=0.5,"0,50",SUM(K16:K21))</f>
        <v>0</v>
      </c>
      <c r="L22" s="646"/>
      <c r="M22" s="497"/>
    </row>
    <row r="23" spans="1:13" ht="16.5" customHeight="1" thickBot="1" x14ac:dyDescent="0.3">
      <c r="A23" s="574"/>
      <c r="B23" s="835"/>
      <c r="C23" s="835"/>
      <c r="D23" s="835"/>
      <c r="E23" s="835"/>
      <c r="F23" s="835"/>
      <c r="G23" s="835"/>
      <c r="H23" s="835"/>
      <c r="I23" s="835"/>
      <c r="J23" s="835"/>
      <c r="K23" s="835"/>
      <c r="L23" s="646"/>
      <c r="M23" s="497"/>
    </row>
    <row r="24" spans="1:13" ht="59.25" customHeight="1" thickBot="1" x14ac:dyDescent="0.3">
      <c r="A24" s="574"/>
      <c r="B24" s="829" t="s">
        <v>287</v>
      </c>
      <c r="C24" s="830"/>
      <c r="D24" s="830"/>
      <c r="E24" s="830"/>
      <c r="F24" s="830"/>
      <c r="G24" s="830"/>
      <c r="H24" s="831"/>
      <c r="I24" s="498">
        <f>IF((I14+I22)&gt;=2,"2.00",I14+I22)</f>
        <v>0</v>
      </c>
      <c r="J24" s="171">
        <f>IF((J14+J22)&gt;=2,"2.00",J14+J22)</f>
        <v>0</v>
      </c>
      <c r="K24" s="172">
        <f>IF((K14+K22)&gt;=1.25,"1.25",K14+K22)</f>
        <v>0</v>
      </c>
      <c r="L24" s="646"/>
      <c r="M24" s="497"/>
    </row>
    <row r="25" spans="1:13" x14ac:dyDescent="0.25">
      <c r="A25" s="574"/>
      <c r="B25" s="142"/>
      <c r="C25" s="143"/>
      <c r="D25" s="143"/>
      <c r="E25" s="142"/>
      <c r="F25" s="142"/>
      <c r="G25" s="142"/>
      <c r="H25" s="143"/>
      <c r="I25" s="143"/>
      <c r="J25" s="143"/>
      <c r="K25" s="143"/>
      <c r="L25" s="646"/>
    </row>
    <row r="26" spans="1:13" x14ac:dyDescent="0.25">
      <c r="A26" s="574"/>
      <c r="B26" s="142"/>
      <c r="C26" s="143"/>
      <c r="D26" s="143"/>
      <c r="E26" s="142"/>
      <c r="F26" s="142"/>
      <c r="G26" s="142"/>
      <c r="H26" s="142"/>
      <c r="I26" s="142"/>
      <c r="J26" s="143"/>
      <c r="K26" s="143"/>
      <c r="L26" s="646"/>
    </row>
    <row r="27" spans="1:13" x14ac:dyDescent="0.25">
      <c r="A27" s="574"/>
      <c r="B27" s="142"/>
      <c r="C27" s="143"/>
      <c r="D27" s="143"/>
      <c r="E27" s="142"/>
      <c r="F27" s="142"/>
      <c r="G27" s="142"/>
      <c r="H27" s="142"/>
      <c r="I27" s="142"/>
      <c r="J27" s="143"/>
      <c r="K27" s="143"/>
      <c r="L27" s="646"/>
    </row>
    <row r="28" spans="1:13" x14ac:dyDescent="0.25">
      <c r="A28" s="633"/>
      <c r="B28" s="647"/>
      <c r="C28" s="645"/>
      <c r="D28" s="645"/>
      <c r="E28" s="647"/>
      <c r="F28" s="647"/>
      <c r="G28" s="647"/>
      <c r="H28" s="647"/>
      <c r="I28" s="647"/>
      <c r="J28" s="645"/>
      <c r="K28" s="645"/>
      <c r="L28" s="648"/>
    </row>
    <row r="29" spans="1:13" x14ac:dyDescent="0.25">
      <c r="B29" s="144"/>
      <c r="C29" s="145"/>
      <c r="D29" s="145"/>
      <c r="E29" s="144"/>
      <c r="F29" s="144"/>
      <c r="G29" s="144"/>
      <c r="H29" s="144"/>
      <c r="I29" s="144"/>
      <c r="J29" s="145"/>
      <c r="K29" s="145"/>
      <c r="L29" s="141"/>
    </row>
  </sheetData>
  <sheetProtection sheet="1" formatRows="0" selectLockedCells="1"/>
  <protectedRanges>
    <protectedRange sqref="H19:H21" name="Range3"/>
    <protectedRange sqref="H16:H17" name="Range2"/>
    <protectedRange sqref="H6:H13" name="Range1"/>
  </protectedRanges>
  <mergeCells count="18">
    <mergeCell ref="B24:H24"/>
    <mergeCell ref="B16:B22"/>
    <mergeCell ref="B4:D4"/>
    <mergeCell ref="B23:K23"/>
    <mergeCell ref="B15:K15"/>
    <mergeCell ref="C22:H22"/>
    <mergeCell ref="B2:C2"/>
    <mergeCell ref="B3:C3"/>
    <mergeCell ref="I18:K18"/>
    <mergeCell ref="C16:C17"/>
    <mergeCell ref="C18:C21"/>
    <mergeCell ref="E18:H18"/>
    <mergeCell ref="B5:D5"/>
    <mergeCell ref="B6:B14"/>
    <mergeCell ref="C6:C8"/>
    <mergeCell ref="C9:C11"/>
    <mergeCell ref="C12:C13"/>
    <mergeCell ref="C14:H14"/>
  </mergeCells>
  <phoneticPr fontId="4" type="noConversion"/>
  <printOptions horizontalCentered="1" verticalCentered="1"/>
  <pageMargins left="0.78740157480314965" right="0.78740157480314965" top="1.1811023622047245" bottom="0.98425196850393704" header="0" footer="0"/>
  <pageSetup paperSize="9" scale="70" orientation="landscape" r:id="rId1"/>
  <headerFooter>
    <oddHeader>&amp;L&amp;"Times New Roman,Halvfet"&amp;16Microbial barrier analysis (MBA)
Operational tool&amp;C&amp;"Times New Roman,Halvfet"&amp;16&amp;A&amp;R&amp;"Times New Roman,Halvfet"&amp;16Page &amp;P og &amp;N
&amp;D</oddHeader>
  </headerFooter>
  <ignoredErrors>
    <ignoredError sqref="J9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key!$A$2:$A$3</xm:f>
          </x14:formula1>
          <xm:sqref>H19:H21 H6:H13 H16:H17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>
    <pageSetUpPr fitToPage="1"/>
  </sheetPr>
  <dimension ref="A1:N29"/>
  <sheetViews>
    <sheetView zoomScaleNormal="100" zoomScalePageLayoutView="90" workbookViewId="0">
      <selection activeCell="H22" sqref="H22"/>
    </sheetView>
  </sheetViews>
  <sheetFormatPr baseColWidth="10" defaultColWidth="10.7109375" defaultRowHeight="15" x14ac:dyDescent="0.25"/>
  <cols>
    <col min="1" max="1" width="2.42578125" style="305" customWidth="1"/>
    <col min="2" max="2" width="16.28515625" style="305" customWidth="1"/>
    <col min="3" max="3" width="19" style="305" customWidth="1"/>
    <col min="4" max="4" width="102.140625" style="305" customWidth="1"/>
    <col min="5" max="7" width="10.7109375" style="308" customWidth="1"/>
    <col min="8" max="8" width="12.7109375" style="309" customWidth="1"/>
    <col min="9" max="9" width="11.7109375" style="305" customWidth="1"/>
    <col min="10" max="10" width="11.85546875" style="305" bestFit="1" customWidth="1"/>
    <col min="11" max="11" width="10.7109375" style="305"/>
    <col min="12" max="12" width="10.7109375" style="304"/>
    <col min="13" max="16384" width="10.7109375" style="305"/>
  </cols>
  <sheetData>
    <row r="1" spans="1:13" ht="15.75" thickBot="1" x14ac:dyDescent="0.3">
      <c r="A1" s="619"/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38"/>
    </row>
    <row r="2" spans="1:13" ht="30.75" customHeight="1" x14ac:dyDescent="0.25">
      <c r="A2" s="649"/>
      <c r="B2" s="803" t="str">
        <f>Innsjø!B2</f>
        <v>Vannverkseier:</v>
      </c>
      <c r="C2" s="804"/>
      <c r="D2" s="592" t="str">
        <f>Innsjø!D2</f>
        <v>BB</v>
      </c>
      <c r="E2" s="556"/>
      <c r="F2" s="556"/>
      <c r="G2" s="556"/>
      <c r="H2" s="556"/>
      <c r="I2" s="212"/>
      <c r="J2" s="212"/>
      <c r="K2" s="212"/>
      <c r="L2" s="650"/>
    </row>
    <row r="3" spans="1:13" ht="34.5" customHeight="1" thickBot="1" x14ac:dyDescent="0.3">
      <c r="A3" s="649"/>
      <c r="B3" s="805" t="str">
        <f>Innsjø!B3</f>
        <v>Vannverkets navn:</v>
      </c>
      <c r="C3" s="806"/>
      <c r="D3" s="593" t="str">
        <f>Innsjø!D3</f>
        <v>VV</v>
      </c>
      <c r="E3" s="556"/>
      <c r="F3" s="556"/>
      <c r="G3" s="556"/>
      <c r="H3" s="556"/>
      <c r="I3" s="212"/>
      <c r="J3" s="212"/>
      <c r="K3" s="212"/>
      <c r="L3" s="650"/>
    </row>
    <row r="4" spans="1:13" ht="20.25" customHeight="1" thickBot="1" x14ac:dyDescent="0.3">
      <c r="A4" s="649"/>
      <c r="B4" s="834"/>
      <c r="C4" s="834"/>
      <c r="D4" s="834"/>
      <c r="E4" s="556"/>
      <c r="F4" s="556"/>
      <c r="G4" s="556"/>
      <c r="H4" s="556"/>
      <c r="I4" s="212"/>
      <c r="J4" s="212"/>
      <c r="K4" s="212"/>
      <c r="L4" s="650"/>
    </row>
    <row r="5" spans="1:13" s="306" customFormat="1" ht="34.5" customHeight="1" thickBot="1" x14ac:dyDescent="0.3">
      <c r="A5" s="651"/>
      <c r="B5" s="816" t="s">
        <v>444</v>
      </c>
      <c r="C5" s="817"/>
      <c r="D5" s="817"/>
      <c r="E5" s="335" t="s">
        <v>97</v>
      </c>
      <c r="F5" s="336" t="s">
        <v>98</v>
      </c>
      <c r="G5" s="337" t="s">
        <v>99</v>
      </c>
      <c r="H5" s="414" t="s">
        <v>79</v>
      </c>
      <c r="I5" s="338" t="s">
        <v>97</v>
      </c>
      <c r="J5" s="339" t="s">
        <v>98</v>
      </c>
      <c r="K5" s="340" t="s">
        <v>99</v>
      </c>
      <c r="L5" s="652"/>
      <c r="M5" s="584"/>
    </row>
    <row r="6" spans="1:13" ht="40.5" customHeight="1" thickBot="1" x14ac:dyDescent="0.3">
      <c r="A6" s="649"/>
      <c r="B6" s="843" t="s">
        <v>205</v>
      </c>
      <c r="C6" s="341" t="s">
        <v>147</v>
      </c>
      <c r="D6" s="342" t="s">
        <v>206</v>
      </c>
      <c r="E6" s="343">
        <v>0.25</v>
      </c>
      <c r="F6" s="344">
        <v>0.25</v>
      </c>
      <c r="G6" s="345">
        <v>0.25</v>
      </c>
      <c r="H6" s="405" t="s">
        <v>17</v>
      </c>
      <c r="I6" s="346">
        <f>IF($H$6="nei",0,$E$6)</f>
        <v>0</v>
      </c>
      <c r="J6" s="347">
        <f>IF($H$6="nei",0,$F$6)</f>
        <v>0</v>
      </c>
      <c r="K6" s="348">
        <f>IF($H$6="nei",0,$G$6)</f>
        <v>0</v>
      </c>
      <c r="L6" s="650"/>
    </row>
    <row r="7" spans="1:13" ht="40.5" customHeight="1" x14ac:dyDescent="0.25">
      <c r="A7" s="649"/>
      <c r="B7" s="844"/>
      <c r="C7" s="846" t="s">
        <v>207</v>
      </c>
      <c r="D7" s="554" t="s">
        <v>75</v>
      </c>
      <c r="E7" s="159">
        <v>0.75</v>
      </c>
      <c r="F7" s="160">
        <v>0.75</v>
      </c>
      <c r="G7" s="161">
        <v>0.5</v>
      </c>
      <c r="H7" s="399" t="s">
        <v>17</v>
      </c>
      <c r="I7" s="349">
        <f>IF($H$7="nei",0,$E$7)</f>
        <v>0</v>
      </c>
      <c r="J7" s="350">
        <f>IF($H$7="nei",0,$F$7)</f>
        <v>0</v>
      </c>
      <c r="K7" s="351">
        <f>IF($H$7="nei",0,$G$7)</f>
        <v>0</v>
      </c>
      <c r="L7" s="650"/>
    </row>
    <row r="8" spans="1:13" ht="40.5" customHeight="1" x14ac:dyDescent="0.25">
      <c r="A8" s="649"/>
      <c r="B8" s="844"/>
      <c r="C8" s="847"/>
      <c r="D8" s="352" t="s">
        <v>64</v>
      </c>
      <c r="E8" s="163">
        <v>0.5</v>
      </c>
      <c r="F8" s="164">
        <v>0.5</v>
      </c>
      <c r="G8" s="165">
        <v>0.25</v>
      </c>
      <c r="H8" s="400" t="s">
        <v>17</v>
      </c>
      <c r="I8" s="169">
        <f>IF($H$8="nei",0,$E$8)</f>
        <v>0</v>
      </c>
      <c r="J8" s="167">
        <f>IF($H$8="nei",0,$F$8)</f>
        <v>0</v>
      </c>
      <c r="K8" s="168">
        <f>IF($H$8="nei",0,$G$8)</f>
        <v>0</v>
      </c>
      <c r="L8" s="650"/>
    </row>
    <row r="9" spans="1:13" ht="35.25" customHeight="1" thickBot="1" x14ac:dyDescent="0.3">
      <c r="A9" s="649"/>
      <c r="B9" s="844"/>
      <c r="C9" s="848"/>
      <c r="D9" s="353" t="s">
        <v>65</v>
      </c>
      <c r="E9" s="354">
        <v>0.25</v>
      </c>
      <c r="F9" s="355">
        <v>0.25</v>
      </c>
      <c r="G9" s="356">
        <v>0.15</v>
      </c>
      <c r="H9" s="406" t="s">
        <v>17</v>
      </c>
      <c r="I9" s="357">
        <f>IF($H$9="nei",0,$E$9)</f>
        <v>0</v>
      </c>
      <c r="J9" s="358">
        <f>IF($H$9="nei",0,$F$9)</f>
        <v>0</v>
      </c>
      <c r="K9" s="359">
        <f>IF($H$9="nei",0,$G$9)</f>
        <v>0</v>
      </c>
      <c r="L9" s="650"/>
    </row>
    <row r="10" spans="1:13" ht="33.75" customHeight="1" x14ac:dyDescent="0.25">
      <c r="A10" s="649"/>
      <c r="B10" s="844"/>
      <c r="C10" s="846" t="s">
        <v>208</v>
      </c>
      <c r="D10" s="554" t="s">
        <v>75</v>
      </c>
      <c r="E10" s="159">
        <v>0.5</v>
      </c>
      <c r="F10" s="160">
        <v>0.5</v>
      </c>
      <c r="G10" s="161">
        <v>0.25</v>
      </c>
      <c r="H10" s="399" t="s">
        <v>17</v>
      </c>
      <c r="I10" s="349">
        <f>IF($H$10="nei",0,$E$10)</f>
        <v>0</v>
      </c>
      <c r="J10" s="350">
        <f>IF($H$10="nei",0,$F$10)</f>
        <v>0</v>
      </c>
      <c r="K10" s="351">
        <f>IF($H$10="nei",0,$G$10)</f>
        <v>0</v>
      </c>
      <c r="L10" s="650"/>
    </row>
    <row r="11" spans="1:13" ht="34.5" customHeight="1" x14ac:dyDescent="0.25">
      <c r="A11" s="649"/>
      <c r="B11" s="844"/>
      <c r="C11" s="847"/>
      <c r="D11" s="352" t="s">
        <v>64</v>
      </c>
      <c r="E11" s="163">
        <v>0.25</v>
      </c>
      <c r="F11" s="164">
        <v>0.25</v>
      </c>
      <c r="G11" s="165">
        <v>0.15</v>
      </c>
      <c r="H11" s="400" t="s">
        <v>17</v>
      </c>
      <c r="I11" s="169">
        <f>IF($H$11="nei",0,$E$11)</f>
        <v>0</v>
      </c>
      <c r="J11" s="167">
        <f>IF($H$11="nei",0,$F$11)</f>
        <v>0</v>
      </c>
      <c r="K11" s="168">
        <f>IF($H$11="nei",0,$G$11)</f>
        <v>0</v>
      </c>
      <c r="L11" s="650"/>
    </row>
    <row r="12" spans="1:13" ht="35.25" customHeight="1" thickBot="1" x14ac:dyDescent="0.3">
      <c r="A12" s="649"/>
      <c r="B12" s="844"/>
      <c r="C12" s="848"/>
      <c r="D12" s="353" t="s">
        <v>65</v>
      </c>
      <c r="E12" s="354">
        <v>0.25</v>
      </c>
      <c r="F12" s="355">
        <v>0.25</v>
      </c>
      <c r="G12" s="356">
        <v>0.15</v>
      </c>
      <c r="H12" s="406" t="s">
        <v>17</v>
      </c>
      <c r="I12" s="357">
        <f>IF($H$12="nei",0,$E$12)</f>
        <v>0</v>
      </c>
      <c r="J12" s="358">
        <f>IF($H$12="nei",0,$F$12)</f>
        <v>0</v>
      </c>
      <c r="K12" s="359">
        <f>IF($H$12="nei",0,$G$12)</f>
        <v>0</v>
      </c>
      <c r="L12" s="650"/>
    </row>
    <row r="13" spans="1:13" ht="27.75" customHeight="1" x14ac:dyDescent="0.25">
      <c r="A13" s="649"/>
      <c r="B13" s="844"/>
      <c r="C13" s="846" t="s">
        <v>148</v>
      </c>
      <c r="D13" s="554" t="s">
        <v>149</v>
      </c>
      <c r="E13" s="159">
        <v>0.5</v>
      </c>
      <c r="F13" s="160">
        <v>0.5</v>
      </c>
      <c r="G13" s="161">
        <v>0.25</v>
      </c>
      <c r="H13" s="399" t="s">
        <v>17</v>
      </c>
      <c r="I13" s="349">
        <f>IF($H$13="nei",0,E13)</f>
        <v>0</v>
      </c>
      <c r="J13" s="350">
        <f>IF($H$13="nei",0,F13)</f>
        <v>0</v>
      </c>
      <c r="K13" s="351">
        <f>IF($H$13="nei",0,G13)</f>
        <v>0</v>
      </c>
      <c r="L13" s="650"/>
    </row>
    <row r="14" spans="1:13" ht="27" customHeight="1" x14ac:dyDescent="0.25">
      <c r="A14" s="649"/>
      <c r="B14" s="844"/>
      <c r="C14" s="847"/>
      <c r="D14" s="360" t="s">
        <v>193</v>
      </c>
      <c r="E14" s="361">
        <v>0.25</v>
      </c>
      <c r="F14" s="362">
        <v>0.25</v>
      </c>
      <c r="G14" s="363">
        <v>0.15</v>
      </c>
      <c r="H14" s="407" t="s">
        <v>17</v>
      </c>
      <c r="I14" s="169">
        <f>IF($H$14="nei",0,E14)</f>
        <v>0</v>
      </c>
      <c r="J14" s="167">
        <f>IF($H$14="nei",0,F14)</f>
        <v>0</v>
      </c>
      <c r="K14" s="168">
        <f>IF($H$14="nei",0,G14)</f>
        <v>0</v>
      </c>
      <c r="L14" s="650"/>
    </row>
    <row r="15" spans="1:13" ht="25.5" customHeight="1" thickBot="1" x14ac:dyDescent="0.3">
      <c r="A15" s="649"/>
      <c r="B15" s="844"/>
      <c r="C15" s="848"/>
      <c r="D15" s="353" t="s">
        <v>150</v>
      </c>
      <c r="E15" s="354">
        <v>0.25</v>
      </c>
      <c r="F15" s="355">
        <v>0.25</v>
      </c>
      <c r="G15" s="356">
        <v>0.15</v>
      </c>
      <c r="H15" s="406" t="s">
        <v>17</v>
      </c>
      <c r="I15" s="357">
        <f>IF($H$15="nei",0,E15)</f>
        <v>0</v>
      </c>
      <c r="J15" s="358">
        <f>IF($H$15="nei",0,F15)</f>
        <v>0</v>
      </c>
      <c r="K15" s="359">
        <f>IF($H$15="nei",0,G15)</f>
        <v>0</v>
      </c>
      <c r="L15" s="650"/>
    </row>
    <row r="16" spans="1:13" s="307" customFormat="1" ht="36.75" customHeight="1" thickBot="1" x14ac:dyDescent="0.3">
      <c r="A16" s="649"/>
      <c r="B16" s="845"/>
      <c r="C16" s="826" t="s">
        <v>410</v>
      </c>
      <c r="D16" s="827"/>
      <c r="E16" s="827"/>
      <c r="F16" s="827"/>
      <c r="G16" s="827"/>
      <c r="H16" s="828"/>
      <c r="I16" s="170">
        <f>IF(SUM(I6:I15)&gt;2,2,SUM(I6:I15))</f>
        <v>0</v>
      </c>
      <c r="J16" s="171">
        <f>IF(SUM(J6:J15)&gt;2,2,SUM(J6:J15))</f>
        <v>0</v>
      </c>
      <c r="K16" s="172">
        <f>IF(SUM(K6:K15)&gt;1.25,1.25,SUM(K6:K15))</f>
        <v>0</v>
      </c>
      <c r="L16" s="650"/>
    </row>
    <row r="17" spans="1:14" s="307" customFormat="1" ht="18" customHeight="1" thickBot="1" x14ac:dyDescent="0.3">
      <c r="A17" s="649"/>
      <c r="B17" s="842"/>
      <c r="C17" s="842"/>
      <c r="D17" s="842"/>
      <c r="E17" s="842"/>
      <c r="F17" s="842"/>
      <c r="G17" s="842"/>
      <c r="H17" s="842"/>
      <c r="I17" s="842"/>
      <c r="J17" s="842"/>
      <c r="K17" s="842"/>
      <c r="L17" s="650"/>
    </row>
    <row r="18" spans="1:14" ht="27" customHeight="1" x14ac:dyDescent="0.25">
      <c r="A18" s="649"/>
      <c r="B18" s="832" t="s">
        <v>432</v>
      </c>
      <c r="C18" s="810" t="s">
        <v>83</v>
      </c>
      <c r="D18" s="173" t="s">
        <v>216</v>
      </c>
      <c r="E18" s="174">
        <v>0.5</v>
      </c>
      <c r="F18" s="175">
        <v>0.5</v>
      </c>
      <c r="G18" s="176">
        <v>0.25</v>
      </c>
      <c r="H18" s="408" t="s">
        <v>17</v>
      </c>
      <c r="I18" s="166">
        <f>IF(H18="nei",0,$E$18)</f>
        <v>0</v>
      </c>
      <c r="J18" s="177">
        <f>IF(H18="nei",0,$F$18)</f>
        <v>0</v>
      </c>
      <c r="K18" s="178">
        <f>IF(H18="nei",0,$G$18)</f>
        <v>0</v>
      </c>
      <c r="L18" s="650"/>
    </row>
    <row r="19" spans="1:14" ht="26.25" customHeight="1" x14ac:dyDescent="0.25">
      <c r="A19" s="649"/>
      <c r="B19" s="832"/>
      <c r="C19" s="811"/>
      <c r="D19" s="179" t="s">
        <v>217</v>
      </c>
      <c r="E19" s="163">
        <v>0.25</v>
      </c>
      <c r="F19" s="164">
        <v>0.25</v>
      </c>
      <c r="G19" s="165">
        <v>0.15</v>
      </c>
      <c r="H19" s="409" t="s">
        <v>17</v>
      </c>
      <c r="I19" s="169">
        <f>IF(H19="nei",0,$E$19)</f>
        <v>0</v>
      </c>
      <c r="J19" s="167">
        <f>IF(H19="nei",0,$F$19)</f>
        <v>0</v>
      </c>
      <c r="K19" s="168">
        <f>IF(H19="nei",0,$G$19)</f>
        <v>0</v>
      </c>
      <c r="L19" s="650"/>
    </row>
    <row r="20" spans="1:14" ht="39" customHeight="1" x14ac:dyDescent="0.25">
      <c r="A20" s="649"/>
      <c r="B20" s="832"/>
      <c r="C20" s="837" t="s">
        <v>289</v>
      </c>
      <c r="D20" s="180" t="s">
        <v>290</v>
      </c>
      <c r="E20" s="813"/>
      <c r="F20" s="814"/>
      <c r="G20" s="814"/>
      <c r="H20" s="814"/>
      <c r="I20" s="807"/>
      <c r="J20" s="808"/>
      <c r="K20" s="809"/>
      <c r="L20" s="650"/>
    </row>
    <row r="21" spans="1:14" ht="22.5" customHeight="1" x14ac:dyDescent="0.25">
      <c r="A21" s="649"/>
      <c r="B21" s="832"/>
      <c r="C21" s="837"/>
      <c r="D21" s="210" t="s">
        <v>429</v>
      </c>
      <c r="E21" s="163">
        <v>0.5</v>
      </c>
      <c r="F21" s="164">
        <v>0.5</v>
      </c>
      <c r="G21" s="165">
        <v>0.25</v>
      </c>
      <c r="H21" s="409" t="s">
        <v>17</v>
      </c>
      <c r="I21" s="169">
        <f>IF($H$21="nei",0,E21)</f>
        <v>0</v>
      </c>
      <c r="J21" s="167">
        <f>IF($H$21="nei",0,F21)</f>
        <v>0</v>
      </c>
      <c r="K21" s="168">
        <f>IF($H$21="nei",0,G21)</f>
        <v>0</v>
      </c>
      <c r="L21" s="650"/>
    </row>
    <row r="22" spans="1:14" ht="23.25" customHeight="1" x14ac:dyDescent="0.25">
      <c r="A22" s="649"/>
      <c r="B22" s="832"/>
      <c r="C22" s="837"/>
      <c r="D22" s="210" t="s">
        <v>431</v>
      </c>
      <c r="E22" s="163">
        <v>0.25</v>
      </c>
      <c r="F22" s="164">
        <v>0.25</v>
      </c>
      <c r="G22" s="165">
        <v>0.15</v>
      </c>
      <c r="H22" s="409" t="s">
        <v>17</v>
      </c>
      <c r="I22" s="169">
        <f>IF($H$22="nei",0,E22)</f>
        <v>0</v>
      </c>
      <c r="J22" s="167">
        <f>IF($H$22="nei",0,F22)</f>
        <v>0</v>
      </c>
      <c r="K22" s="168">
        <f>IF($H$22="nei",0,G22)</f>
        <v>0</v>
      </c>
      <c r="L22" s="650"/>
      <c r="M22" s="304"/>
      <c r="N22" s="304"/>
    </row>
    <row r="23" spans="1:14" ht="21.75" customHeight="1" thickBot="1" x14ac:dyDescent="0.3">
      <c r="A23" s="649"/>
      <c r="B23" s="832"/>
      <c r="C23" s="838"/>
      <c r="D23" s="211" t="s">
        <v>204</v>
      </c>
      <c r="E23" s="163">
        <v>0.25</v>
      </c>
      <c r="F23" s="164">
        <v>0.25</v>
      </c>
      <c r="G23" s="165">
        <v>0.15</v>
      </c>
      <c r="H23" s="409" t="s">
        <v>17</v>
      </c>
      <c r="I23" s="169">
        <f>IF($H$23="nei",0,E23)</f>
        <v>0</v>
      </c>
      <c r="J23" s="167">
        <f>IF($H$23="nei",0,F23)</f>
        <v>0</v>
      </c>
      <c r="K23" s="168">
        <f>IF($H$23="nei",0,G23)</f>
        <v>0</v>
      </c>
      <c r="L23" s="650"/>
      <c r="M23" s="304"/>
      <c r="N23" s="304"/>
    </row>
    <row r="24" spans="1:14" ht="35.25" customHeight="1" thickBot="1" x14ac:dyDescent="0.3">
      <c r="A24" s="649"/>
      <c r="B24" s="833"/>
      <c r="C24" s="376" t="s">
        <v>291</v>
      </c>
      <c r="D24" s="374"/>
      <c r="E24" s="375"/>
      <c r="F24" s="375"/>
      <c r="G24" s="375"/>
      <c r="H24" s="375"/>
      <c r="I24" s="170">
        <f>IF(SUM(I18:I23)&gt;=0.75,"0,75",SUM(I18:I23))</f>
        <v>0</v>
      </c>
      <c r="J24" s="171">
        <f>IF(SUM(J18:J23)&gt;=0.75,"0,75",SUM(J18:J23))</f>
        <v>0</v>
      </c>
      <c r="K24" s="172">
        <f>IF(SUM(K18:K23)&gt;=0.5,"0,50",SUM(K18:K23))</f>
        <v>0</v>
      </c>
      <c r="L24" s="650"/>
      <c r="M24" s="304"/>
      <c r="N24" s="304"/>
    </row>
    <row r="25" spans="1:14" ht="18.75" customHeight="1" thickBot="1" x14ac:dyDescent="0.3">
      <c r="A25" s="649"/>
      <c r="B25" s="835"/>
      <c r="C25" s="835"/>
      <c r="D25" s="835"/>
      <c r="E25" s="835"/>
      <c r="F25" s="835"/>
      <c r="G25" s="835"/>
      <c r="H25" s="835"/>
      <c r="I25" s="835"/>
      <c r="J25" s="835"/>
      <c r="K25" s="835"/>
      <c r="L25" s="650"/>
      <c r="M25" s="304"/>
      <c r="N25" s="304"/>
    </row>
    <row r="26" spans="1:14" ht="55.5" customHeight="1" thickBot="1" x14ac:dyDescent="0.3">
      <c r="A26" s="649"/>
      <c r="B26" s="839" t="s">
        <v>292</v>
      </c>
      <c r="C26" s="840"/>
      <c r="D26" s="840"/>
      <c r="E26" s="840"/>
      <c r="F26" s="840"/>
      <c r="G26" s="840"/>
      <c r="H26" s="841"/>
      <c r="I26" s="334">
        <f>IF((I16+I24)&gt;=2,"2,00",I16+I24)</f>
        <v>0</v>
      </c>
      <c r="J26" s="372">
        <f>IF((J16+J24)&gt;=2,"2,00",J16+J24)</f>
        <v>0</v>
      </c>
      <c r="K26" s="373">
        <f>IF((K16+K24)&gt;=1.25,"1,25",K16+K24)</f>
        <v>0</v>
      </c>
      <c r="L26" s="650"/>
      <c r="M26" s="304"/>
      <c r="N26" s="304"/>
    </row>
    <row r="27" spans="1:14" x14ac:dyDescent="0.25">
      <c r="A27" s="649"/>
      <c r="B27" s="653"/>
      <c r="C27" s="653"/>
      <c r="D27" s="653"/>
      <c r="E27" s="654"/>
      <c r="F27" s="654"/>
      <c r="G27" s="654"/>
      <c r="H27" s="655"/>
      <c r="I27" s="653"/>
      <c r="J27" s="653"/>
      <c r="K27" s="653"/>
      <c r="L27" s="650"/>
    </row>
    <row r="28" spans="1:14" x14ac:dyDescent="0.25">
      <c r="A28" s="649"/>
      <c r="B28" s="653"/>
      <c r="C28" s="653"/>
      <c r="D28" s="653"/>
      <c r="E28" s="654"/>
      <c r="F28" s="654"/>
      <c r="G28" s="654"/>
      <c r="H28" s="655"/>
      <c r="I28" s="653"/>
      <c r="J28" s="653"/>
      <c r="K28" s="653"/>
      <c r="L28" s="650"/>
    </row>
    <row r="29" spans="1:14" x14ac:dyDescent="0.25">
      <c r="A29" s="656"/>
      <c r="B29" s="657"/>
      <c r="C29" s="657"/>
      <c r="D29" s="657"/>
      <c r="E29" s="658"/>
      <c r="F29" s="658"/>
      <c r="G29" s="658"/>
      <c r="H29" s="659"/>
      <c r="I29" s="657"/>
      <c r="J29" s="657"/>
      <c r="K29" s="657"/>
      <c r="L29" s="660"/>
    </row>
  </sheetData>
  <sheetProtection sheet="1" selectLockedCells="1"/>
  <protectedRanges>
    <protectedRange sqref="H21:H23" name="Range3"/>
    <protectedRange sqref="H18:H19" name="Range2"/>
    <protectedRange sqref="H6:H15" name="Range1"/>
  </protectedRanges>
  <mergeCells count="17">
    <mergeCell ref="B26:H26"/>
    <mergeCell ref="B4:D4"/>
    <mergeCell ref="B5:D5"/>
    <mergeCell ref="B25:K25"/>
    <mergeCell ref="B17:K17"/>
    <mergeCell ref="I20:K20"/>
    <mergeCell ref="B6:B16"/>
    <mergeCell ref="C7:C9"/>
    <mergeCell ref="C10:C12"/>
    <mergeCell ref="C13:C15"/>
    <mergeCell ref="B2:C2"/>
    <mergeCell ref="B3:C3"/>
    <mergeCell ref="B18:B24"/>
    <mergeCell ref="C18:C19"/>
    <mergeCell ref="C20:C23"/>
    <mergeCell ref="C16:H16"/>
    <mergeCell ref="E20:H20"/>
  </mergeCells>
  <phoneticPr fontId="4" type="noConversion"/>
  <pageMargins left="0.78740157480314965" right="0.78740157480314965" top="1.1811023622047245" bottom="0.98425196850393704" header="0" footer="0"/>
  <pageSetup paperSize="9" scale="68" orientation="landscape" r:id="rId1"/>
  <headerFooter>
    <oddHeader>&amp;L&amp;"Times New Roman,Halvfet"&amp;16Microbial barrier analysis (MBA)
Operational tool&amp;C&amp;"Times New Roman,Halvfet"&amp;16&amp;A&amp;R&amp;"Times New Roman,Halvfet"&amp;16Page &amp;P of &amp;N
&amp;D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key!$A$2:$A$3</xm:f>
          </x14:formula1>
          <xm:sqref>H21:H23 H18:H19 H6:H15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J13" sqref="J13"/>
    </sheetView>
  </sheetViews>
  <sheetFormatPr baseColWidth="10" defaultColWidth="9.140625" defaultRowHeight="15" x14ac:dyDescent="0.25"/>
  <cols>
    <col min="3" max="3" width="20.7109375" customWidth="1"/>
    <col min="4" max="4" width="35.5703125" customWidth="1"/>
    <col min="5" max="5" width="18.7109375" customWidth="1"/>
    <col min="6" max="6" width="12.28515625" customWidth="1"/>
    <col min="7" max="7" width="12.140625" customWidth="1"/>
    <col min="8" max="8" width="12" customWidth="1"/>
    <col min="9" max="9" width="12.7109375" customWidth="1"/>
    <col min="10" max="10" width="11.85546875" customWidth="1"/>
    <col min="11" max="11" width="12.5703125" customWidth="1"/>
    <col min="12" max="12" width="13.7109375" customWidth="1"/>
  </cols>
  <sheetData>
    <row r="1" spans="1:15" s="305" customFormat="1" ht="15.75" thickBot="1" x14ac:dyDescent="0.3">
      <c r="A1" s="619"/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38"/>
      <c r="N1" s="69"/>
      <c r="O1" s="69"/>
    </row>
    <row r="2" spans="1:15" s="305" customFormat="1" ht="30.75" customHeight="1" x14ac:dyDescent="0.25">
      <c r="A2" s="649"/>
      <c r="B2" s="852" t="str">
        <f>Innsjø!B2</f>
        <v>Vannverkseier:</v>
      </c>
      <c r="C2" s="785"/>
      <c r="D2" s="864" t="str">
        <f>Innsjø!D2</f>
        <v>BB</v>
      </c>
      <c r="E2" s="865"/>
      <c r="F2" s="556"/>
      <c r="G2" s="556"/>
      <c r="H2" s="556"/>
      <c r="I2" s="556"/>
      <c r="J2" s="212"/>
      <c r="K2" s="212"/>
      <c r="L2" s="212"/>
      <c r="M2" s="650"/>
      <c r="N2" s="304"/>
      <c r="O2" s="304"/>
    </row>
    <row r="3" spans="1:15" s="305" customFormat="1" ht="34.5" customHeight="1" thickBot="1" x14ac:dyDescent="0.3">
      <c r="A3" s="649"/>
      <c r="B3" s="853" t="str">
        <f>Innsjø!B3</f>
        <v>Vannverkets navn:</v>
      </c>
      <c r="C3" s="854"/>
      <c r="D3" s="866" t="str">
        <f>Innsjø!D3</f>
        <v>VV</v>
      </c>
      <c r="E3" s="867"/>
      <c r="F3" s="556"/>
      <c r="G3" s="556"/>
      <c r="H3" s="556"/>
      <c r="I3" s="556"/>
      <c r="J3" s="212"/>
      <c r="K3" s="212"/>
      <c r="L3" s="212"/>
      <c r="M3" s="650"/>
      <c r="N3" s="304"/>
      <c r="O3" s="304"/>
    </row>
    <row r="4" spans="1:15" x14ac:dyDescent="0.25">
      <c r="A4" s="661"/>
      <c r="B4" s="662"/>
      <c r="C4" s="662"/>
      <c r="D4" s="662"/>
      <c r="E4" s="662"/>
      <c r="F4" s="662"/>
      <c r="G4" s="662"/>
      <c r="H4" s="662"/>
      <c r="I4" s="662"/>
      <c r="J4" s="662"/>
      <c r="K4" s="662"/>
      <c r="L4" s="662"/>
      <c r="M4" s="663"/>
    </row>
    <row r="5" spans="1:15" ht="48" customHeight="1" x14ac:dyDescent="0.25">
      <c r="A5" s="661"/>
      <c r="B5" s="868" t="s">
        <v>446</v>
      </c>
      <c r="C5" s="868"/>
      <c r="D5" s="868"/>
      <c r="E5" s="868"/>
      <c r="F5" s="868"/>
      <c r="G5" s="868"/>
      <c r="H5" s="868"/>
      <c r="I5" s="868"/>
      <c r="J5" s="868"/>
      <c r="K5" s="868"/>
      <c r="L5" s="868"/>
      <c r="M5" s="663"/>
    </row>
    <row r="6" spans="1:15" ht="15.75" thickBot="1" x14ac:dyDescent="0.3">
      <c r="A6" s="661"/>
      <c r="B6" s="662"/>
      <c r="C6" s="662"/>
      <c r="D6" s="662"/>
      <c r="E6" s="662"/>
      <c r="F6" s="662"/>
      <c r="G6" s="662"/>
      <c r="H6" s="662"/>
      <c r="I6" s="662"/>
      <c r="J6" s="662"/>
      <c r="K6" s="662"/>
      <c r="L6" s="662"/>
      <c r="M6" s="663"/>
    </row>
    <row r="7" spans="1:15" ht="71.25" customHeight="1" thickBot="1" x14ac:dyDescent="0.3">
      <c r="A7" s="574"/>
      <c r="B7" s="794" t="s">
        <v>445</v>
      </c>
      <c r="C7" s="795"/>
      <c r="D7" s="795"/>
      <c r="E7" s="796"/>
      <c r="F7" s="594" t="s">
        <v>97</v>
      </c>
      <c r="G7" s="595" t="s">
        <v>98</v>
      </c>
      <c r="H7" s="596" t="s">
        <v>99</v>
      </c>
      <c r="I7" s="570" t="s">
        <v>79</v>
      </c>
      <c r="J7" s="594" t="s">
        <v>97</v>
      </c>
      <c r="K7" s="595" t="s">
        <v>98</v>
      </c>
      <c r="L7" s="596" t="s">
        <v>99</v>
      </c>
      <c r="M7" s="624"/>
    </row>
    <row r="8" spans="1:15" ht="30" customHeight="1" x14ac:dyDescent="0.25">
      <c r="A8" s="574"/>
      <c r="B8" s="855" t="s">
        <v>448</v>
      </c>
      <c r="C8" s="856"/>
      <c r="D8" s="857"/>
      <c r="E8" s="597" t="s">
        <v>456</v>
      </c>
      <c r="F8" s="598">
        <v>3</v>
      </c>
      <c r="G8" s="599">
        <v>2.5</v>
      </c>
      <c r="H8" s="600">
        <v>3</v>
      </c>
      <c r="I8" s="585" t="s">
        <v>17</v>
      </c>
      <c r="J8" s="598">
        <f>IF($I$8="nei",0,F8)</f>
        <v>0</v>
      </c>
      <c r="K8" s="599">
        <f>IF($I$8="nei",0,G8)</f>
        <v>0</v>
      </c>
      <c r="L8" s="601">
        <f>IF($I$8="nei",0,H8)</f>
        <v>0</v>
      </c>
      <c r="M8" s="624"/>
    </row>
    <row r="9" spans="1:15" ht="30" customHeight="1" x14ac:dyDescent="0.25">
      <c r="A9" s="574"/>
      <c r="B9" s="858"/>
      <c r="C9" s="859"/>
      <c r="D9" s="860"/>
      <c r="E9" s="602" t="s">
        <v>440</v>
      </c>
      <c r="F9" s="603">
        <v>2.5</v>
      </c>
      <c r="G9" s="604">
        <v>2</v>
      </c>
      <c r="H9" s="605">
        <v>2.5</v>
      </c>
      <c r="I9" s="586" t="s">
        <v>17</v>
      </c>
      <c r="J9" s="603">
        <f>IF($I$9="nei",0,F9)</f>
        <v>0</v>
      </c>
      <c r="K9" s="604">
        <f>IF($I$9="nei",0,G9)</f>
        <v>0</v>
      </c>
      <c r="L9" s="606">
        <f>IF($I$9="nei",0,H9)</f>
        <v>0</v>
      </c>
      <c r="M9" s="624"/>
    </row>
    <row r="10" spans="1:15" ht="30" customHeight="1" x14ac:dyDescent="0.25">
      <c r="A10" s="574"/>
      <c r="B10" s="858"/>
      <c r="C10" s="859"/>
      <c r="D10" s="860"/>
      <c r="E10" s="602" t="s">
        <v>441</v>
      </c>
      <c r="F10" s="603">
        <v>2</v>
      </c>
      <c r="G10" s="604">
        <v>1.5</v>
      </c>
      <c r="H10" s="605">
        <v>2</v>
      </c>
      <c r="I10" s="587" t="s">
        <v>17</v>
      </c>
      <c r="J10" s="603">
        <f>IF(I10="nei",0,F10)</f>
        <v>0</v>
      </c>
      <c r="K10" s="604">
        <f>IF(I10="nei",0,G10)</f>
        <v>0</v>
      </c>
      <c r="L10" s="606">
        <f>IF(I10="nei",0,H10)</f>
        <v>0</v>
      </c>
      <c r="M10" s="624"/>
    </row>
    <row r="11" spans="1:15" ht="30" customHeight="1" thickBot="1" x14ac:dyDescent="0.3">
      <c r="A11" s="574"/>
      <c r="B11" s="861"/>
      <c r="C11" s="862"/>
      <c r="D11" s="863"/>
      <c r="E11" s="607" t="s">
        <v>442</v>
      </c>
      <c r="F11" s="608">
        <v>1.5</v>
      </c>
      <c r="G11" s="609">
        <v>1</v>
      </c>
      <c r="H11" s="610">
        <v>1.5</v>
      </c>
      <c r="I11" s="588" t="s">
        <v>17</v>
      </c>
      <c r="J11" s="608">
        <f>IF(I11="nei",0,F11)</f>
        <v>0</v>
      </c>
      <c r="K11" s="609">
        <f>IF(I11="nei",0,G11)</f>
        <v>0</v>
      </c>
      <c r="L11" s="611">
        <f>IF(I11="nei",0,H11)</f>
        <v>0</v>
      </c>
      <c r="M11" s="624"/>
    </row>
    <row r="12" spans="1:15" ht="15.75" thickBot="1" x14ac:dyDescent="0.3">
      <c r="A12" s="574"/>
      <c r="B12" s="664"/>
      <c r="C12" s="322"/>
      <c r="D12" s="322"/>
      <c r="E12" s="322"/>
      <c r="F12" s="664"/>
      <c r="G12" s="664"/>
      <c r="H12" s="664"/>
      <c r="I12" s="583"/>
      <c r="J12" s="664"/>
      <c r="K12" s="322"/>
      <c r="L12" s="322"/>
      <c r="M12" s="624"/>
    </row>
    <row r="13" spans="1:15" s="1" customFormat="1" ht="60" customHeight="1" thickBot="1" x14ac:dyDescent="0.3">
      <c r="A13" s="574"/>
      <c r="B13" s="849" t="s">
        <v>447</v>
      </c>
      <c r="C13" s="850"/>
      <c r="D13" s="850"/>
      <c r="E13" s="850"/>
      <c r="F13" s="850"/>
      <c r="G13" s="850"/>
      <c r="H13" s="850"/>
      <c r="I13" s="851"/>
      <c r="J13" s="612">
        <f>SUM(J8:J11)</f>
        <v>0</v>
      </c>
      <c r="K13" s="612">
        <f t="shared" ref="K13:L13" si="0">SUM(K8:K11)</f>
        <v>0</v>
      </c>
      <c r="L13" s="613">
        <f t="shared" si="0"/>
        <v>0</v>
      </c>
      <c r="M13" s="665"/>
    </row>
    <row r="14" spans="1:15" x14ac:dyDescent="0.25">
      <c r="A14" s="666"/>
      <c r="B14" s="667"/>
      <c r="C14" s="667"/>
      <c r="D14" s="667"/>
      <c r="E14" s="667"/>
      <c r="F14" s="667"/>
      <c r="G14" s="667"/>
      <c r="H14" s="667"/>
      <c r="I14" s="667"/>
      <c r="J14" s="667"/>
      <c r="K14" s="667"/>
      <c r="L14" s="667"/>
      <c r="M14" s="668"/>
    </row>
    <row r="15" spans="1:15" x14ac:dyDescent="0.25">
      <c r="A15" s="666"/>
      <c r="B15" s="667"/>
      <c r="C15" s="667"/>
      <c r="D15" s="667"/>
      <c r="E15" s="667"/>
      <c r="F15" s="667"/>
      <c r="G15" s="667"/>
      <c r="H15" s="667"/>
      <c r="I15" s="667"/>
      <c r="J15" s="667"/>
      <c r="K15" s="667"/>
      <c r="L15" s="667"/>
      <c r="M15" s="668"/>
    </row>
    <row r="16" spans="1:15" x14ac:dyDescent="0.25">
      <c r="A16" s="669"/>
      <c r="B16" s="670"/>
      <c r="C16" s="670"/>
      <c r="D16" s="670"/>
      <c r="E16" s="670"/>
      <c r="F16" s="670"/>
      <c r="G16" s="670"/>
      <c r="H16" s="670"/>
      <c r="I16" s="670"/>
      <c r="J16" s="670"/>
      <c r="K16" s="670"/>
      <c r="L16" s="670"/>
      <c r="M16" s="671"/>
    </row>
    <row r="17" spans="1:12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2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spans="1:12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</row>
    <row r="20" spans="1:12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</row>
    <row r="21" spans="1:12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</row>
    <row r="22" spans="1:12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</row>
    <row r="23" spans="1:12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</row>
    <row r="25" spans="1:12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</row>
    <row r="26" spans="1:12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</row>
  </sheetData>
  <sheetProtection sheet="1" objects="1" scenarios="1"/>
  <protectedRanges>
    <protectedRange sqref="I8:I11" name="Range1"/>
  </protectedRanges>
  <mergeCells count="8">
    <mergeCell ref="B13:I13"/>
    <mergeCell ref="B2:C2"/>
    <mergeCell ref="B3:C3"/>
    <mergeCell ref="B7:E7"/>
    <mergeCell ref="B8:D11"/>
    <mergeCell ref="D2:E2"/>
    <mergeCell ref="D3:E3"/>
    <mergeCell ref="B5:L5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key!$A$2:$A$3</xm:f>
          </x14:formula1>
          <xm:sqref>I8:I11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7">
    <pageSetUpPr fitToPage="1"/>
  </sheetPr>
  <dimension ref="A1:L36"/>
  <sheetViews>
    <sheetView topLeftCell="A4" zoomScaleNormal="100" zoomScalePageLayoutView="80" workbookViewId="0">
      <selection activeCell="H9" sqref="H9"/>
    </sheetView>
  </sheetViews>
  <sheetFormatPr baseColWidth="10" defaultColWidth="10.7109375" defaultRowHeight="15" x14ac:dyDescent="0.25"/>
  <cols>
    <col min="1" max="1" width="3" style="305" customWidth="1"/>
    <col min="2" max="2" width="15.85546875" style="308" customWidth="1"/>
    <col min="3" max="3" width="20.28515625" style="305" customWidth="1"/>
    <col min="4" max="4" width="59.28515625" style="305" customWidth="1"/>
    <col min="5" max="5" width="10.7109375" style="308" customWidth="1"/>
    <col min="6" max="6" width="11.7109375" style="308" customWidth="1"/>
    <col min="7" max="7" width="12.5703125" style="308" customWidth="1"/>
    <col min="8" max="8" width="12.7109375" style="308" customWidth="1"/>
    <col min="9" max="9" width="11.42578125" style="308" customWidth="1"/>
    <col min="10" max="10" width="11.42578125" style="305" customWidth="1"/>
    <col min="11" max="11" width="12.5703125" style="305" customWidth="1"/>
    <col min="12" max="16384" width="10.7109375" style="305"/>
  </cols>
  <sheetData>
    <row r="1" spans="1:12" ht="15.75" thickBot="1" x14ac:dyDescent="0.3">
      <c r="A1" s="619"/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38"/>
    </row>
    <row r="2" spans="1:12" ht="32.25" customHeight="1" x14ac:dyDescent="0.25">
      <c r="A2" s="649"/>
      <c r="B2" s="803" t="str">
        <f>Innsjø!B2</f>
        <v>Vannverkseier:</v>
      </c>
      <c r="C2" s="804"/>
      <c r="D2" s="614" t="str">
        <f>Innsjø!D2</f>
        <v>BB</v>
      </c>
      <c r="E2" s="556"/>
      <c r="F2" s="556"/>
      <c r="G2" s="556"/>
      <c r="H2" s="556"/>
      <c r="I2" s="556"/>
      <c r="J2" s="212"/>
      <c r="K2" s="212"/>
      <c r="L2" s="650"/>
    </row>
    <row r="3" spans="1:12" ht="33.75" customHeight="1" thickBot="1" x14ac:dyDescent="0.3">
      <c r="A3" s="649"/>
      <c r="B3" s="805" t="str">
        <f>Innsjø!B3</f>
        <v>Vannverkets navn:</v>
      </c>
      <c r="C3" s="806"/>
      <c r="D3" s="615" t="str">
        <f>Innsjø!D3</f>
        <v>VV</v>
      </c>
      <c r="E3" s="556"/>
      <c r="F3" s="556"/>
      <c r="G3" s="556"/>
      <c r="H3" s="556"/>
      <c r="I3" s="556"/>
      <c r="J3" s="212"/>
      <c r="K3" s="212"/>
      <c r="L3" s="650"/>
    </row>
    <row r="4" spans="1:12" ht="24" customHeight="1" thickBot="1" x14ac:dyDescent="0.3">
      <c r="A4" s="649"/>
      <c r="B4" s="834"/>
      <c r="C4" s="834"/>
      <c r="D4" s="834"/>
      <c r="E4" s="556"/>
      <c r="F4" s="556"/>
      <c r="G4" s="556"/>
      <c r="H4" s="556"/>
      <c r="I4" s="556"/>
      <c r="J4" s="212"/>
      <c r="K4" s="212"/>
      <c r="L4" s="650"/>
    </row>
    <row r="5" spans="1:12" ht="46.5" customHeight="1" thickBot="1" x14ac:dyDescent="0.3">
      <c r="A5" s="649"/>
      <c r="B5" s="816" t="s">
        <v>316</v>
      </c>
      <c r="C5" s="898"/>
      <c r="D5" s="899"/>
      <c r="E5" s="335" t="s">
        <v>97</v>
      </c>
      <c r="F5" s="336" t="s">
        <v>98</v>
      </c>
      <c r="G5" s="337" t="s">
        <v>99</v>
      </c>
      <c r="H5" s="413" t="s">
        <v>16</v>
      </c>
      <c r="I5" s="154" t="s">
        <v>97</v>
      </c>
      <c r="J5" s="155" t="s">
        <v>98</v>
      </c>
      <c r="K5" s="156" t="s">
        <v>99</v>
      </c>
      <c r="L5" s="650"/>
    </row>
    <row r="6" spans="1:12" ht="36" customHeight="1" x14ac:dyDescent="0.25">
      <c r="A6" s="649"/>
      <c r="B6" s="887" t="s">
        <v>243</v>
      </c>
      <c r="C6" s="890" t="s">
        <v>295</v>
      </c>
      <c r="D6" s="891"/>
      <c r="E6" s="364">
        <v>0.5</v>
      </c>
      <c r="F6" s="160">
        <v>0.25</v>
      </c>
      <c r="G6" s="160">
        <v>0.5</v>
      </c>
      <c r="H6" s="399" t="s">
        <v>17</v>
      </c>
      <c r="I6" s="349">
        <f>IF(H6="nei",0,$E$6)</f>
        <v>0</v>
      </c>
      <c r="J6" s="350">
        <f>IF(H6="nei",0,$F$6)</f>
        <v>0</v>
      </c>
      <c r="K6" s="351">
        <f>IF(H6="nei",0,$G$6)</f>
        <v>0</v>
      </c>
      <c r="L6" s="650"/>
    </row>
    <row r="7" spans="1:12" ht="28.5" customHeight="1" x14ac:dyDescent="0.25">
      <c r="A7" s="649"/>
      <c r="B7" s="888"/>
      <c r="C7" s="885" t="s">
        <v>296</v>
      </c>
      <c r="D7" s="886"/>
      <c r="E7" s="365">
        <v>2</v>
      </c>
      <c r="F7" s="164">
        <v>1</v>
      </c>
      <c r="G7" s="164">
        <v>2</v>
      </c>
      <c r="H7" s="400" t="s">
        <v>17</v>
      </c>
      <c r="I7" s="169">
        <f>IF(H7="nei",0,$E$7)</f>
        <v>0</v>
      </c>
      <c r="J7" s="167">
        <f>IF(H7="nei",0,$F$7)</f>
        <v>0</v>
      </c>
      <c r="K7" s="168">
        <f>IF(H7="nei",0,$G$7)</f>
        <v>0</v>
      </c>
      <c r="L7" s="650"/>
    </row>
    <row r="8" spans="1:12" ht="30" customHeight="1" x14ac:dyDescent="0.25">
      <c r="A8" s="649"/>
      <c r="B8" s="888"/>
      <c r="C8" s="885" t="s">
        <v>297</v>
      </c>
      <c r="D8" s="886"/>
      <c r="E8" s="365">
        <v>2.5</v>
      </c>
      <c r="F8" s="164">
        <v>2</v>
      </c>
      <c r="G8" s="164">
        <v>2.5</v>
      </c>
      <c r="H8" s="400" t="s">
        <v>17</v>
      </c>
      <c r="I8" s="169">
        <f>IF(H8="nei",0,$E$8)</f>
        <v>0</v>
      </c>
      <c r="J8" s="167">
        <f>IF(H8="nei",0,$F$8)</f>
        <v>0</v>
      </c>
      <c r="K8" s="168">
        <f>IF(H8="nei",0,$G$8)</f>
        <v>0</v>
      </c>
      <c r="L8" s="650"/>
    </row>
    <row r="9" spans="1:12" ht="30.75" customHeight="1" x14ac:dyDescent="0.25">
      <c r="A9" s="649"/>
      <c r="B9" s="888"/>
      <c r="C9" s="892" t="s">
        <v>298</v>
      </c>
      <c r="D9" s="893"/>
      <c r="E9" s="365">
        <v>3</v>
      </c>
      <c r="F9" s="164">
        <v>3</v>
      </c>
      <c r="G9" s="164">
        <v>3</v>
      </c>
      <c r="H9" s="400" t="s">
        <v>17</v>
      </c>
      <c r="I9" s="169">
        <f>IF(H9="nei",0,$E$9)</f>
        <v>0</v>
      </c>
      <c r="J9" s="167">
        <f>IF(H9="nei",0,$F$9)</f>
        <v>0</v>
      </c>
      <c r="K9" s="168">
        <f>IF(H9="nei",0,$G$9)</f>
        <v>0</v>
      </c>
      <c r="L9" s="650"/>
    </row>
    <row r="10" spans="1:12" ht="31.5" customHeight="1" x14ac:dyDescent="0.25">
      <c r="A10" s="649"/>
      <c r="B10" s="888"/>
      <c r="C10" s="885" t="s">
        <v>294</v>
      </c>
      <c r="D10" s="886"/>
      <c r="E10" s="365">
        <v>2</v>
      </c>
      <c r="F10" s="164">
        <v>2</v>
      </c>
      <c r="G10" s="164">
        <v>2</v>
      </c>
      <c r="H10" s="400" t="s">
        <v>17</v>
      </c>
      <c r="I10" s="169">
        <f>IF(H10="nei",0,$E$10)</f>
        <v>0</v>
      </c>
      <c r="J10" s="167">
        <f>IF(H10="nei",0,$F$10)</f>
        <v>0</v>
      </c>
      <c r="K10" s="168">
        <f>IF(H10="nei",0,$G$10)</f>
        <v>0</v>
      </c>
      <c r="L10" s="650"/>
    </row>
    <row r="11" spans="1:12" ht="30" customHeight="1" x14ac:dyDescent="0.25">
      <c r="A11" s="649"/>
      <c r="B11" s="888"/>
      <c r="C11" s="885" t="s">
        <v>299</v>
      </c>
      <c r="D11" s="886"/>
      <c r="E11" s="365">
        <v>2.25</v>
      </c>
      <c r="F11" s="164">
        <v>1.5</v>
      </c>
      <c r="G11" s="164">
        <v>2.25</v>
      </c>
      <c r="H11" s="400" t="s">
        <v>17</v>
      </c>
      <c r="I11" s="163">
        <f>IF(H11="nei",0,$E$11)</f>
        <v>0</v>
      </c>
      <c r="J11" s="164">
        <f>IF(H11="nei",0,$F$11)</f>
        <v>0</v>
      </c>
      <c r="K11" s="165">
        <f>IF(H11="nei",0,$G$11)</f>
        <v>0</v>
      </c>
      <c r="L11" s="650"/>
    </row>
    <row r="12" spans="1:12" ht="30" customHeight="1" x14ac:dyDescent="0.25">
      <c r="A12" s="649"/>
      <c r="B12" s="888"/>
      <c r="C12" s="885" t="s">
        <v>300</v>
      </c>
      <c r="D12" s="886"/>
      <c r="E12" s="365">
        <v>2.5</v>
      </c>
      <c r="F12" s="164">
        <v>2</v>
      </c>
      <c r="G12" s="164">
        <v>2.5</v>
      </c>
      <c r="H12" s="400" t="s">
        <v>17</v>
      </c>
      <c r="I12" s="163">
        <f>IF(H12="nei",0,$E$12)</f>
        <v>0</v>
      </c>
      <c r="J12" s="164">
        <f>IF(H12="nei",0,$F$12)</f>
        <v>0</v>
      </c>
      <c r="K12" s="165">
        <f>IF(H12="nei",0,$G$12)</f>
        <v>0</v>
      </c>
      <c r="L12" s="650"/>
    </row>
    <row r="13" spans="1:12" ht="29.25" customHeight="1" x14ac:dyDescent="0.25">
      <c r="A13" s="649"/>
      <c r="B13" s="888"/>
      <c r="C13" s="885" t="s">
        <v>301</v>
      </c>
      <c r="D13" s="886"/>
      <c r="E13" s="365">
        <v>2.5</v>
      </c>
      <c r="F13" s="164">
        <v>1.75</v>
      </c>
      <c r="G13" s="164">
        <v>2.5</v>
      </c>
      <c r="H13" s="400" t="s">
        <v>17</v>
      </c>
      <c r="I13" s="163">
        <f>IF(H13="nei",0,$E$13)</f>
        <v>0</v>
      </c>
      <c r="J13" s="164">
        <f>IF(H13="nei",0,$F$13)</f>
        <v>0</v>
      </c>
      <c r="K13" s="165">
        <f>IF(H13="nei",0,$G$13)</f>
        <v>0</v>
      </c>
      <c r="L13" s="650"/>
    </row>
    <row r="14" spans="1:12" ht="29.25" customHeight="1" x14ac:dyDescent="0.25">
      <c r="A14" s="649"/>
      <c r="B14" s="888"/>
      <c r="C14" s="885" t="s">
        <v>302</v>
      </c>
      <c r="D14" s="886"/>
      <c r="E14" s="365">
        <v>2.75</v>
      </c>
      <c r="F14" s="164">
        <v>2.25</v>
      </c>
      <c r="G14" s="164">
        <v>2.75</v>
      </c>
      <c r="H14" s="400" t="s">
        <v>17</v>
      </c>
      <c r="I14" s="169">
        <f>IF(H14="nei",0,$E$14)</f>
        <v>0</v>
      </c>
      <c r="J14" s="167">
        <f>IF(H14="nei",0,$F$14)</f>
        <v>0</v>
      </c>
      <c r="K14" s="168">
        <f>IF(H14="nei",0,$G$14)</f>
        <v>0</v>
      </c>
      <c r="L14" s="650"/>
    </row>
    <row r="15" spans="1:12" ht="29.25" customHeight="1" x14ac:dyDescent="0.25">
      <c r="A15" s="649"/>
      <c r="B15" s="888"/>
      <c r="C15" s="894" t="s">
        <v>303</v>
      </c>
      <c r="D15" s="895"/>
      <c r="E15" s="366">
        <v>3</v>
      </c>
      <c r="F15" s="208">
        <v>2.5</v>
      </c>
      <c r="G15" s="208">
        <v>3</v>
      </c>
      <c r="H15" s="400" t="s">
        <v>17</v>
      </c>
      <c r="I15" s="169">
        <f>IF(H15="nei",0,$E$15)</f>
        <v>0</v>
      </c>
      <c r="J15" s="167">
        <f>IF(H15="nei",0,$F$15)</f>
        <v>0</v>
      </c>
      <c r="K15" s="168">
        <f>IF(H15="nei",0,$G$15)</f>
        <v>0</v>
      </c>
      <c r="L15" s="650"/>
    </row>
    <row r="16" spans="1:12" ht="30" customHeight="1" thickBot="1" x14ac:dyDescent="0.3">
      <c r="A16" s="649"/>
      <c r="B16" s="888"/>
      <c r="C16" s="896" t="s">
        <v>304</v>
      </c>
      <c r="D16" s="897"/>
      <c r="E16" s="366">
        <v>3</v>
      </c>
      <c r="F16" s="208">
        <v>3</v>
      </c>
      <c r="G16" s="355">
        <v>3</v>
      </c>
      <c r="H16" s="401" t="s">
        <v>17</v>
      </c>
      <c r="I16" s="357">
        <f>IF(H16="nei",0,$E$16)</f>
        <v>0</v>
      </c>
      <c r="J16" s="358">
        <f>IF(H16="nei",0,$F$16)</f>
        <v>0</v>
      </c>
      <c r="K16" s="359">
        <f>IF(H16="nei",0,$G$16)</f>
        <v>0</v>
      </c>
      <c r="L16" s="650"/>
    </row>
    <row r="17" spans="1:12" ht="53.25" customHeight="1" thickBot="1" x14ac:dyDescent="0.3">
      <c r="A17" s="649"/>
      <c r="B17" s="889"/>
      <c r="C17" s="829" t="s">
        <v>426</v>
      </c>
      <c r="D17" s="830"/>
      <c r="E17" s="830"/>
      <c r="F17" s="830"/>
      <c r="G17" s="830"/>
      <c r="H17" s="831"/>
      <c r="I17" s="170">
        <f>SUM(I6:I16)</f>
        <v>0</v>
      </c>
      <c r="J17" s="171">
        <f>SUM(J6:J16)</f>
        <v>0</v>
      </c>
      <c r="K17" s="172">
        <f>SUM(K6:K16)</f>
        <v>0</v>
      </c>
      <c r="L17" s="650"/>
    </row>
    <row r="18" spans="1:12" ht="15.75" thickBot="1" x14ac:dyDescent="0.3">
      <c r="A18" s="649"/>
      <c r="B18" s="556"/>
      <c r="C18" s="212"/>
      <c r="D18" s="212"/>
      <c r="E18" s="556"/>
      <c r="F18" s="556"/>
      <c r="G18" s="556"/>
      <c r="H18" s="556"/>
      <c r="I18" s="556"/>
      <c r="J18" s="212"/>
      <c r="K18" s="212"/>
      <c r="L18" s="650"/>
    </row>
    <row r="19" spans="1:12" ht="39.75" customHeight="1" x14ac:dyDescent="0.25">
      <c r="A19" s="649"/>
      <c r="B19" s="843" t="s">
        <v>209</v>
      </c>
      <c r="C19" s="882" t="s">
        <v>152</v>
      </c>
      <c r="D19" s="879" t="s">
        <v>305</v>
      </c>
      <c r="E19" s="880"/>
      <c r="F19" s="880"/>
      <c r="G19" s="880"/>
      <c r="H19" s="881"/>
      <c r="I19" s="367" t="s">
        <v>97</v>
      </c>
      <c r="J19" s="561" t="s">
        <v>98</v>
      </c>
      <c r="K19" s="368" t="s">
        <v>99</v>
      </c>
      <c r="L19" s="650"/>
    </row>
    <row r="20" spans="1:12" ht="29.1" customHeight="1" x14ac:dyDescent="0.25">
      <c r="A20" s="649"/>
      <c r="B20" s="844"/>
      <c r="C20" s="883"/>
      <c r="D20" s="875" t="s">
        <v>151</v>
      </c>
      <c r="E20" s="875"/>
      <c r="F20" s="875"/>
      <c r="G20" s="213">
        <v>0.4</v>
      </c>
      <c r="H20" s="402" t="s">
        <v>17</v>
      </c>
      <c r="I20" s="169">
        <f>IF($H$20="nei",0,I17*$G$20)</f>
        <v>0</v>
      </c>
      <c r="J20" s="167">
        <f>IF($H$20="nei",0,J17*$G$20)</f>
        <v>0</v>
      </c>
      <c r="K20" s="168">
        <f>IF($H$20="nei",0,K17*$G$20)</f>
        <v>0</v>
      </c>
      <c r="L20" s="650"/>
    </row>
    <row r="21" spans="1:12" ht="34.5" customHeight="1" x14ac:dyDescent="0.25">
      <c r="A21" s="649"/>
      <c r="B21" s="844"/>
      <c r="C21" s="883"/>
      <c r="D21" s="874" t="s">
        <v>194</v>
      </c>
      <c r="E21" s="874"/>
      <c r="F21" s="874"/>
      <c r="G21" s="213">
        <v>0.2</v>
      </c>
      <c r="H21" s="402" t="s">
        <v>17</v>
      </c>
      <c r="I21" s="169">
        <f>IF($H$21="nei",0,I17*$G$21)</f>
        <v>0</v>
      </c>
      <c r="J21" s="167">
        <f>IF($H$21="nei",0,J17*$G$21)</f>
        <v>0</v>
      </c>
      <c r="K21" s="168">
        <f>IF($H$21="nei",0,K17*$G$21)</f>
        <v>0</v>
      </c>
      <c r="L21" s="650"/>
    </row>
    <row r="22" spans="1:12" ht="54" customHeight="1" x14ac:dyDescent="0.25">
      <c r="A22" s="649"/>
      <c r="B22" s="844"/>
      <c r="C22" s="883"/>
      <c r="D22" s="874" t="s">
        <v>306</v>
      </c>
      <c r="E22" s="874"/>
      <c r="F22" s="874"/>
      <c r="G22" s="213">
        <v>0.1</v>
      </c>
      <c r="H22" s="402" t="s">
        <v>17</v>
      </c>
      <c r="I22" s="169">
        <f>IF($H$22="nei",0,I17*$G$22)</f>
        <v>0</v>
      </c>
      <c r="J22" s="167">
        <f>IF($H$22="nei",0,J17*$G$22)</f>
        <v>0</v>
      </c>
      <c r="K22" s="168">
        <f>IF($H$22="nei",0,K17*$G$22)</f>
        <v>0</v>
      </c>
      <c r="L22" s="650"/>
    </row>
    <row r="23" spans="1:12" ht="60.75" customHeight="1" thickBot="1" x14ac:dyDescent="0.3">
      <c r="A23" s="649"/>
      <c r="B23" s="844"/>
      <c r="C23" s="884"/>
      <c r="D23" s="872" t="s">
        <v>307</v>
      </c>
      <c r="E23" s="872"/>
      <c r="F23" s="872"/>
      <c r="G23" s="369">
        <v>0</v>
      </c>
      <c r="H23" s="403" t="s">
        <v>17</v>
      </c>
      <c r="I23" s="357">
        <f>IF($H$23="nei",0,I17*$G$23)</f>
        <v>0</v>
      </c>
      <c r="J23" s="358">
        <f>IF($H$23="nei",0,J17*$G$23)</f>
        <v>0</v>
      </c>
      <c r="K23" s="359">
        <f>IF($H$23="nei",0,K17*$G$23)</f>
        <v>0</v>
      </c>
      <c r="L23" s="650"/>
    </row>
    <row r="24" spans="1:12" ht="33.75" customHeight="1" x14ac:dyDescent="0.25">
      <c r="A24" s="649"/>
      <c r="B24" s="844"/>
      <c r="C24" s="876" t="s">
        <v>153</v>
      </c>
      <c r="D24" s="879" t="s">
        <v>308</v>
      </c>
      <c r="E24" s="880"/>
      <c r="F24" s="880"/>
      <c r="G24" s="880"/>
      <c r="H24" s="881"/>
      <c r="I24" s="349"/>
      <c r="J24" s="370"/>
      <c r="K24" s="351"/>
      <c r="L24" s="650"/>
    </row>
    <row r="25" spans="1:12" ht="28.35" customHeight="1" x14ac:dyDescent="0.25">
      <c r="A25" s="649"/>
      <c r="B25" s="844"/>
      <c r="C25" s="877"/>
      <c r="D25" s="873" t="s">
        <v>151</v>
      </c>
      <c r="E25" s="873"/>
      <c r="F25" s="873"/>
      <c r="G25" s="371">
        <v>0.4</v>
      </c>
      <c r="H25" s="404" t="s">
        <v>17</v>
      </c>
      <c r="I25" s="166">
        <f>IF($H$25="nei",0,I17*$G$25)</f>
        <v>0</v>
      </c>
      <c r="J25" s="177">
        <f>IF($H$25="nei",0,J17*$G$25)</f>
        <v>0</v>
      </c>
      <c r="K25" s="178">
        <f>IF($H$25="nei",0,K17*$G$25)</f>
        <v>0</v>
      </c>
      <c r="L25" s="650"/>
    </row>
    <row r="26" spans="1:12" ht="42.75" customHeight="1" x14ac:dyDescent="0.25">
      <c r="A26" s="649"/>
      <c r="B26" s="844"/>
      <c r="C26" s="877"/>
      <c r="D26" s="874" t="s">
        <v>309</v>
      </c>
      <c r="E26" s="874"/>
      <c r="F26" s="874"/>
      <c r="G26" s="213">
        <v>0.2</v>
      </c>
      <c r="H26" s="402" t="s">
        <v>17</v>
      </c>
      <c r="I26" s="169">
        <f>IF($H$26="nei",0,I17*$G$26)</f>
        <v>0</v>
      </c>
      <c r="J26" s="167">
        <f>IF($H$26="nei",0,J17*$G$26)</f>
        <v>0</v>
      </c>
      <c r="K26" s="168">
        <f>IF($H$26="nei",0,K17*$G$26)</f>
        <v>0</v>
      </c>
      <c r="L26" s="650"/>
    </row>
    <row r="27" spans="1:12" ht="45" customHeight="1" x14ac:dyDescent="0.25">
      <c r="A27" s="649"/>
      <c r="B27" s="844"/>
      <c r="C27" s="877"/>
      <c r="D27" s="874" t="s">
        <v>310</v>
      </c>
      <c r="E27" s="874"/>
      <c r="F27" s="874"/>
      <c r="G27" s="213">
        <v>0</v>
      </c>
      <c r="H27" s="402" t="s">
        <v>17</v>
      </c>
      <c r="I27" s="169">
        <f>IF($H$27="nei",0,I17*$G$27)</f>
        <v>0</v>
      </c>
      <c r="J27" s="167">
        <f>IF($H$27="nei",0,J17*$G$27)</f>
        <v>0</v>
      </c>
      <c r="K27" s="168">
        <f>IF($H$27="nei",0,K17*$G$27)</f>
        <v>0</v>
      </c>
      <c r="L27" s="650"/>
    </row>
    <row r="28" spans="1:12" ht="39" customHeight="1" x14ac:dyDescent="0.25">
      <c r="A28" s="649"/>
      <c r="B28" s="844"/>
      <c r="C28" s="877"/>
      <c r="D28" s="874" t="s">
        <v>311</v>
      </c>
      <c r="E28" s="874"/>
      <c r="F28" s="874"/>
      <c r="G28" s="213">
        <v>0.2</v>
      </c>
      <c r="H28" s="402" t="s">
        <v>17</v>
      </c>
      <c r="I28" s="169">
        <f>IF($H$28="nei",0,I17*$G$28)</f>
        <v>0</v>
      </c>
      <c r="J28" s="167">
        <f>IF($H$28="nei",0,J17*$G$28)</f>
        <v>0</v>
      </c>
      <c r="K28" s="168">
        <f>IF($H$28="nei",0,K17*$G$28)</f>
        <v>0</v>
      </c>
      <c r="L28" s="650"/>
    </row>
    <row r="29" spans="1:12" ht="36.75" customHeight="1" thickBot="1" x14ac:dyDescent="0.3">
      <c r="A29" s="649"/>
      <c r="B29" s="845"/>
      <c r="C29" s="878"/>
      <c r="D29" s="872" t="s">
        <v>312</v>
      </c>
      <c r="E29" s="872"/>
      <c r="F29" s="872"/>
      <c r="G29" s="369">
        <v>0</v>
      </c>
      <c r="H29" s="403" t="s">
        <v>17</v>
      </c>
      <c r="I29" s="357">
        <f>IF($H$29="nei",0,I17*$G$29)</f>
        <v>0</v>
      </c>
      <c r="J29" s="358">
        <f>IF($H$29="nei",0,J17*$G$29)</f>
        <v>0</v>
      </c>
      <c r="K29" s="359">
        <f>IF($H$29="nei",0,K17*$G$29)</f>
        <v>0</v>
      </c>
      <c r="L29" s="650"/>
    </row>
    <row r="30" spans="1:12" ht="15.75" thickBot="1" x14ac:dyDescent="0.3">
      <c r="A30" s="649"/>
      <c r="B30" s="667"/>
      <c r="C30" s="323"/>
      <c r="D30" s="323"/>
      <c r="E30" s="667"/>
      <c r="F30" s="667"/>
      <c r="G30" s="667"/>
      <c r="H30" s="667"/>
      <c r="I30" s="667"/>
      <c r="J30" s="323"/>
      <c r="K30" s="323"/>
      <c r="L30" s="650"/>
    </row>
    <row r="31" spans="1:12" ht="60" customHeight="1" thickBot="1" x14ac:dyDescent="0.3">
      <c r="A31" s="649"/>
      <c r="B31" s="869" t="s">
        <v>212</v>
      </c>
      <c r="C31" s="870"/>
      <c r="D31" s="870"/>
      <c r="E31" s="870"/>
      <c r="F31" s="870"/>
      <c r="G31" s="870"/>
      <c r="H31" s="871"/>
      <c r="I31" s="498">
        <f>I17-SUM(I20:I29)</f>
        <v>0</v>
      </c>
      <c r="J31" s="171">
        <f t="shared" ref="J31" si="0">J17-SUM(J20:J29)</f>
        <v>0</v>
      </c>
      <c r="K31" s="172">
        <f>K17-SUM(K20:K29)</f>
        <v>0</v>
      </c>
      <c r="L31" s="650"/>
    </row>
    <row r="32" spans="1:12" x14ac:dyDescent="0.25">
      <c r="A32" s="649"/>
      <c r="B32" s="654"/>
      <c r="C32" s="653"/>
      <c r="D32" s="653"/>
      <c r="E32" s="654"/>
      <c r="F32" s="654"/>
      <c r="G32" s="654"/>
      <c r="H32" s="654"/>
      <c r="I32" s="654"/>
      <c r="J32" s="653"/>
      <c r="K32" s="653"/>
      <c r="L32" s="650"/>
    </row>
    <row r="33" spans="1:12" x14ac:dyDescent="0.25">
      <c r="A33" s="649"/>
      <c r="B33" s="654"/>
      <c r="C33" s="653"/>
      <c r="D33" s="653"/>
      <c r="E33" s="654"/>
      <c r="F33" s="654"/>
      <c r="G33" s="654"/>
      <c r="H33" s="654"/>
      <c r="I33" s="654"/>
      <c r="J33" s="653"/>
      <c r="K33" s="653"/>
      <c r="L33" s="650"/>
    </row>
    <row r="34" spans="1:12" x14ac:dyDescent="0.25">
      <c r="A34" s="656"/>
      <c r="B34" s="658"/>
      <c r="C34" s="657"/>
      <c r="D34" s="657"/>
      <c r="E34" s="658"/>
      <c r="F34" s="658"/>
      <c r="G34" s="658"/>
      <c r="H34" s="658"/>
      <c r="I34" s="658"/>
      <c r="J34" s="657"/>
      <c r="K34" s="657"/>
      <c r="L34" s="660"/>
    </row>
    <row r="35" spans="1:12" x14ac:dyDescent="0.25">
      <c r="L35" s="304"/>
    </row>
    <row r="36" spans="1:12" x14ac:dyDescent="0.25">
      <c r="L36" s="304"/>
    </row>
  </sheetData>
  <sheetProtection sheet="1" selectLockedCells="1"/>
  <protectedRanges>
    <protectedRange sqref="H25:H29" name="Range3"/>
    <protectedRange sqref="H20:H23" name="Range2"/>
    <protectedRange sqref="H6:H16" name="Range1"/>
  </protectedRanges>
  <mergeCells count="32">
    <mergeCell ref="B4:D4"/>
    <mergeCell ref="B2:C2"/>
    <mergeCell ref="B3:C3"/>
    <mergeCell ref="B5:D5"/>
    <mergeCell ref="C13:D13"/>
    <mergeCell ref="C14:D14"/>
    <mergeCell ref="C10:D10"/>
    <mergeCell ref="B6:B17"/>
    <mergeCell ref="C6:D6"/>
    <mergeCell ref="C7:D7"/>
    <mergeCell ref="C8:D8"/>
    <mergeCell ref="C9:D9"/>
    <mergeCell ref="C11:D11"/>
    <mergeCell ref="C12:D12"/>
    <mergeCell ref="C15:D15"/>
    <mergeCell ref="C16:D16"/>
    <mergeCell ref="B31:H31"/>
    <mergeCell ref="D29:F29"/>
    <mergeCell ref="C17:H17"/>
    <mergeCell ref="D23:F23"/>
    <mergeCell ref="D25:F25"/>
    <mergeCell ref="D26:F26"/>
    <mergeCell ref="D27:F27"/>
    <mergeCell ref="D28:F28"/>
    <mergeCell ref="D20:F20"/>
    <mergeCell ref="D21:F21"/>
    <mergeCell ref="D22:F22"/>
    <mergeCell ref="C24:C29"/>
    <mergeCell ref="D19:H19"/>
    <mergeCell ref="D24:H24"/>
    <mergeCell ref="B19:B29"/>
    <mergeCell ref="C19:C23"/>
  </mergeCells>
  <phoneticPr fontId="4" type="noConversion"/>
  <printOptions horizontalCentered="1" verticalCentered="1"/>
  <pageMargins left="0.78740157480314965" right="0.78740157480314965" top="1.1811023622047245" bottom="0.78740157480314965" header="0" footer="0"/>
  <pageSetup paperSize="9" scale="58" orientation="landscape" r:id="rId1"/>
  <headerFooter>
    <oddHeader>&amp;L&amp;"Times New Roman,Halvfet"&amp;16Microbial barrier analysis (MBA)
Operational tool&amp;C&amp;"Times New Roman,Halvfet"&amp;16&amp;A&amp;R&amp;"Times New Roman,Halvfet"&amp;16Page &amp;P of &amp;N
&amp;D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key!$A$2:$A$3</xm:f>
          </x14:formula1>
          <xm:sqref>H6:H16 H20:H23 H25:H29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opLeftCell="A8" zoomScaleNormal="100" zoomScalePageLayoutView="80" workbookViewId="0">
      <selection activeCell="H8" sqref="H8"/>
    </sheetView>
  </sheetViews>
  <sheetFormatPr baseColWidth="10" defaultColWidth="10.7109375" defaultRowHeight="15" x14ac:dyDescent="0.25"/>
  <cols>
    <col min="1" max="1" width="3" style="305" customWidth="1"/>
    <col min="2" max="2" width="15.85546875" style="308" customWidth="1"/>
    <col min="3" max="3" width="20.28515625" style="305" customWidth="1"/>
    <col min="4" max="4" width="59.28515625" style="305" customWidth="1"/>
    <col min="5" max="5" width="10.7109375" style="308" customWidth="1"/>
    <col min="6" max="6" width="11.7109375" style="308" customWidth="1"/>
    <col min="7" max="7" width="12.5703125" style="308" customWidth="1"/>
    <col min="8" max="8" width="12.7109375" style="308" customWidth="1"/>
    <col min="9" max="9" width="11.42578125" style="308" customWidth="1"/>
    <col min="10" max="10" width="11.42578125" style="305" customWidth="1"/>
    <col min="11" max="11" width="12.5703125" style="305" customWidth="1"/>
    <col min="12" max="16384" width="10.7109375" style="305"/>
  </cols>
  <sheetData>
    <row r="1" spans="1:12" ht="15.75" thickBot="1" x14ac:dyDescent="0.3">
      <c r="A1" s="619"/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38"/>
    </row>
    <row r="2" spans="1:12" ht="32.25" customHeight="1" x14ac:dyDescent="0.25">
      <c r="A2" s="649"/>
      <c r="B2" s="852" t="str">
        <f>Innsjø!B2</f>
        <v>Vannverkseier:</v>
      </c>
      <c r="C2" s="901"/>
      <c r="D2" s="616" t="str">
        <f>Innsjø!D2</f>
        <v>BB</v>
      </c>
      <c r="E2" s="556"/>
      <c r="F2" s="556"/>
      <c r="G2" s="556"/>
      <c r="H2" s="556"/>
      <c r="I2" s="556"/>
      <c r="J2" s="212"/>
      <c r="K2" s="212"/>
      <c r="L2" s="650"/>
    </row>
    <row r="3" spans="1:12" ht="33.75" customHeight="1" thickBot="1" x14ac:dyDescent="0.3">
      <c r="A3" s="649"/>
      <c r="B3" s="853" t="str">
        <f>Innsjø!B3</f>
        <v>Vannverkets navn:</v>
      </c>
      <c r="C3" s="902"/>
      <c r="D3" s="617" t="str">
        <f>Innsjø!D3</f>
        <v>VV</v>
      </c>
      <c r="E3" s="556"/>
      <c r="F3" s="556"/>
      <c r="G3" s="556"/>
      <c r="H3" s="556"/>
      <c r="I3" s="556"/>
      <c r="J3" s="212"/>
      <c r="K3" s="212"/>
      <c r="L3" s="650"/>
    </row>
    <row r="4" spans="1:12" ht="18" customHeight="1" x14ac:dyDescent="0.25">
      <c r="A4" s="649"/>
      <c r="B4" s="618"/>
      <c r="C4" s="618"/>
      <c r="D4" s="556"/>
      <c r="E4" s="556"/>
      <c r="F4" s="556"/>
      <c r="G4" s="556"/>
      <c r="H4" s="556"/>
      <c r="I4" s="556"/>
      <c r="J4" s="212"/>
      <c r="K4" s="212"/>
      <c r="L4" s="650"/>
    </row>
    <row r="5" spans="1:12" ht="18.75" customHeight="1" x14ac:dyDescent="0.25">
      <c r="A5" s="649"/>
      <c r="B5" s="900" t="s">
        <v>457</v>
      </c>
      <c r="C5" s="900"/>
      <c r="D5" s="900"/>
      <c r="E5" s="900"/>
      <c r="F5" s="900"/>
      <c r="G5" s="900"/>
      <c r="H5" s="900"/>
      <c r="I5" s="900"/>
      <c r="J5" s="900"/>
      <c r="K5" s="900"/>
      <c r="L5" s="650"/>
    </row>
    <row r="6" spans="1:12" ht="24" customHeight="1" thickBot="1" x14ac:dyDescent="0.3">
      <c r="A6" s="649"/>
      <c r="B6" s="903"/>
      <c r="C6" s="903"/>
      <c r="D6" s="903"/>
      <c r="E6" s="556"/>
      <c r="F6" s="556"/>
      <c r="G6" s="556"/>
      <c r="H6" s="556"/>
      <c r="I6" s="556"/>
      <c r="J6" s="212"/>
      <c r="K6" s="212"/>
      <c r="L6" s="650"/>
    </row>
    <row r="7" spans="1:12" ht="46.5" customHeight="1" thickBot="1" x14ac:dyDescent="0.3">
      <c r="A7" s="649"/>
      <c r="B7" s="816" t="s">
        <v>316</v>
      </c>
      <c r="C7" s="898"/>
      <c r="D7" s="899"/>
      <c r="E7" s="335" t="s">
        <v>97</v>
      </c>
      <c r="F7" s="336" t="s">
        <v>98</v>
      </c>
      <c r="G7" s="337" t="s">
        <v>99</v>
      </c>
      <c r="H7" s="413" t="s">
        <v>16</v>
      </c>
      <c r="I7" s="154" t="s">
        <v>97</v>
      </c>
      <c r="J7" s="155" t="s">
        <v>98</v>
      </c>
      <c r="K7" s="156" t="s">
        <v>99</v>
      </c>
      <c r="L7" s="650"/>
    </row>
    <row r="8" spans="1:12" ht="36" customHeight="1" x14ac:dyDescent="0.25">
      <c r="A8" s="649"/>
      <c r="B8" s="887" t="s">
        <v>243</v>
      </c>
      <c r="C8" s="890" t="s">
        <v>295</v>
      </c>
      <c r="D8" s="891"/>
      <c r="E8" s="364">
        <v>0.5</v>
      </c>
      <c r="F8" s="160">
        <v>0.25</v>
      </c>
      <c r="G8" s="160">
        <v>0.5</v>
      </c>
      <c r="H8" s="399" t="s">
        <v>17</v>
      </c>
      <c r="I8" s="349">
        <f>IF(H8="nei",0,$E$8)</f>
        <v>0</v>
      </c>
      <c r="J8" s="350">
        <f>IF(H8="nei",0,$F$8)</f>
        <v>0</v>
      </c>
      <c r="K8" s="351">
        <f>IF(H8="nei",0,$G$8)</f>
        <v>0</v>
      </c>
      <c r="L8" s="650"/>
    </row>
    <row r="9" spans="1:12" ht="28.5" customHeight="1" x14ac:dyDescent="0.25">
      <c r="A9" s="649"/>
      <c r="B9" s="888"/>
      <c r="C9" s="885" t="s">
        <v>296</v>
      </c>
      <c r="D9" s="886"/>
      <c r="E9" s="365">
        <v>2</v>
      </c>
      <c r="F9" s="164">
        <v>1</v>
      </c>
      <c r="G9" s="164">
        <v>2</v>
      </c>
      <c r="H9" s="400" t="s">
        <v>17</v>
      </c>
      <c r="I9" s="169">
        <f>IF(H9="nei",0,$E$9)</f>
        <v>0</v>
      </c>
      <c r="J9" s="167">
        <f>IF(H9="nei",0,$F$9)</f>
        <v>0</v>
      </c>
      <c r="K9" s="168">
        <f>IF(H9="nei",0,$G$9)</f>
        <v>0</v>
      </c>
      <c r="L9" s="650"/>
    </row>
    <row r="10" spans="1:12" ht="30" customHeight="1" x14ac:dyDescent="0.25">
      <c r="A10" s="649"/>
      <c r="B10" s="888"/>
      <c r="C10" s="885" t="s">
        <v>297</v>
      </c>
      <c r="D10" s="886"/>
      <c r="E10" s="365">
        <v>2.5</v>
      </c>
      <c r="F10" s="164">
        <v>2</v>
      </c>
      <c r="G10" s="164">
        <v>2.5</v>
      </c>
      <c r="H10" s="400" t="s">
        <v>17</v>
      </c>
      <c r="I10" s="169">
        <f>IF(H10="nei",0,$E$10)</f>
        <v>0</v>
      </c>
      <c r="J10" s="167">
        <f>IF(H10="nei",0,$F$10)</f>
        <v>0</v>
      </c>
      <c r="K10" s="168">
        <f>IF(H10="nei",0,$G$10)</f>
        <v>0</v>
      </c>
      <c r="L10" s="650"/>
    </row>
    <row r="11" spans="1:12" ht="30.75" customHeight="1" x14ac:dyDescent="0.25">
      <c r="A11" s="649"/>
      <c r="B11" s="888"/>
      <c r="C11" s="892" t="s">
        <v>298</v>
      </c>
      <c r="D11" s="893"/>
      <c r="E11" s="365">
        <v>3</v>
      </c>
      <c r="F11" s="164">
        <v>3</v>
      </c>
      <c r="G11" s="164">
        <v>3</v>
      </c>
      <c r="H11" s="400" t="s">
        <v>17</v>
      </c>
      <c r="I11" s="169">
        <f>IF(H11="nei",0,$E$11)</f>
        <v>0</v>
      </c>
      <c r="J11" s="167">
        <f>IF(H11="nei",0,$F$11)</f>
        <v>0</v>
      </c>
      <c r="K11" s="168">
        <f>IF(H11="nei",0,$G$11)</f>
        <v>0</v>
      </c>
      <c r="L11" s="650"/>
    </row>
    <row r="12" spans="1:12" ht="31.5" customHeight="1" x14ac:dyDescent="0.25">
      <c r="A12" s="649"/>
      <c r="B12" s="888"/>
      <c r="C12" s="885" t="s">
        <v>294</v>
      </c>
      <c r="D12" s="886"/>
      <c r="E12" s="365">
        <v>2</v>
      </c>
      <c r="F12" s="164">
        <v>2</v>
      </c>
      <c r="G12" s="164">
        <v>2</v>
      </c>
      <c r="H12" s="400" t="s">
        <v>17</v>
      </c>
      <c r="I12" s="169">
        <f>IF(H12="nei",0,$E$12)</f>
        <v>0</v>
      </c>
      <c r="J12" s="167">
        <f>IF(H12="nei",0,$F$12)</f>
        <v>0</v>
      </c>
      <c r="K12" s="168">
        <f>IF(H12="nei",0,$G$12)</f>
        <v>0</v>
      </c>
      <c r="L12" s="650"/>
    </row>
    <row r="13" spans="1:12" ht="30" customHeight="1" x14ac:dyDescent="0.25">
      <c r="A13" s="649"/>
      <c r="B13" s="888"/>
      <c r="C13" s="885" t="s">
        <v>299</v>
      </c>
      <c r="D13" s="886"/>
      <c r="E13" s="365">
        <v>2.25</v>
      </c>
      <c r="F13" s="164">
        <v>1.5</v>
      </c>
      <c r="G13" s="164">
        <v>2.25</v>
      </c>
      <c r="H13" s="400" t="s">
        <v>17</v>
      </c>
      <c r="I13" s="163">
        <f>IF(H13="nei",0,$E$13)</f>
        <v>0</v>
      </c>
      <c r="J13" s="164">
        <f>IF(H13="nei",0,$F$13)</f>
        <v>0</v>
      </c>
      <c r="K13" s="165">
        <f>IF(H13="nei",0,$G$13)</f>
        <v>0</v>
      </c>
      <c r="L13" s="650"/>
    </row>
    <row r="14" spans="1:12" ht="30" customHeight="1" x14ac:dyDescent="0.25">
      <c r="A14" s="649"/>
      <c r="B14" s="888"/>
      <c r="C14" s="885" t="s">
        <v>300</v>
      </c>
      <c r="D14" s="886"/>
      <c r="E14" s="365">
        <v>2.5</v>
      </c>
      <c r="F14" s="164">
        <v>2</v>
      </c>
      <c r="G14" s="164">
        <v>2.5</v>
      </c>
      <c r="H14" s="400" t="s">
        <v>17</v>
      </c>
      <c r="I14" s="163">
        <f>IF(H14="nei",0,$E$14)</f>
        <v>0</v>
      </c>
      <c r="J14" s="164">
        <f>IF(H14="nei",0,$F$14)</f>
        <v>0</v>
      </c>
      <c r="K14" s="165">
        <f>IF(H14="nei",0,$G$14)</f>
        <v>0</v>
      </c>
      <c r="L14" s="650"/>
    </row>
    <row r="15" spans="1:12" ht="29.25" customHeight="1" x14ac:dyDescent="0.25">
      <c r="A15" s="649"/>
      <c r="B15" s="888"/>
      <c r="C15" s="885" t="s">
        <v>301</v>
      </c>
      <c r="D15" s="886"/>
      <c r="E15" s="365">
        <v>2.5</v>
      </c>
      <c r="F15" s="164">
        <v>1.75</v>
      </c>
      <c r="G15" s="164">
        <v>2.5</v>
      </c>
      <c r="H15" s="400" t="s">
        <v>17</v>
      </c>
      <c r="I15" s="163">
        <f>IF(H15="nei",0,$E$15)</f>
        <v>0</v>
      </c>
      <c r="J15" s="164">
        <f>IF(H15="nei",0,$F$15)</f>
        <v>0</v>
      </c>
      <c r="K15" s="165">
        <f>IF(H15="nei",0,$G$15)</f>
        <v>0</v>
      </c>
      <c r="L15" s="650"/>
    </row>
    <row r="16" spans="1:12" ht="29.25" customHeight="1" x14ac:dyDescent="0.25">
      <c r="A16" s="649"/>
      <c r="B16" s="888"/>
      <c r="C16" s="885" t="s">
        <v>302</v>
      </c>
      <c r="D16" s="886"/>
      <c r="E16" s="365">
        <v>2.75</v>
      </c>
      <c r="F16" s="164">
        <v>2.25</v>
      </c>
      <c r="G16" s="164">
        <v>2.75</v>
      </c>
      <c r="H16" s="400" t="s">
        <v>17</v>
      </c>
      <c r="I16" s="169">
        <f>IF(H16="nei",0,$E$16)</f>
        <v>0</v>
      </c>
      <c r="J16" s="167">
        <f>IF(H16="nei",0,$F$16)</f>
        <v>0</v>
      </c>
      <c r="K16" s="168">
        <f>IF(H16="nei",0,$G$16)</f>
        <v>0</v>
      </c>
      <c r="L16" s="650"/>
    </row>
    <row r="17" spans="1:12" ht="29.25" customHeight="1" x14ac:dyDescent="0.25">
      <c r="A17" s="649"/>
      <c r="B17" s="888"/>
      <c r="C17" s="894" t="s">
        <v>303</v>
      </c>
      <c r="D17" s="895"/>
      <c r="E17" s="366">
        <v>3</v>
      </c>
      <c r="F17" s="208">
        <v>2.5</v>
      </c>
      <c r="G17" s="208">
        <v>3</v>
      </c>
      <c r="H17" s="400" t="s">
        <v>17</v>
      </c>
      <c r="I17" s="169">
        <f>IF(H17="nei",0,$E$17)</f>
        <v>0</v>
      </c>
      <c r="J17" s="167">
        <f>IF(H17="nei",0,$F$17)</f>
        <v>0</v>
      </c>
      <c r="K17" s="168">
        <f>IF(H17="nei",0,$G$17)</f>
        <v>0</v>
      </c>
      <c r="L17" s="650"/>
    </row>
    <row r="18" spans="1:12" ht="30" customHeight="1" thickBot="1" x14ac:dyDescent="0.3">
      <c r="A18" s="649"/>
      <c r="B18" s="888"/>
      <c r="C18" s="896" t="s">
        <v>304</v>
      </c>
      <c r="D18" s="897"/>
      <c r="E18" s="366">
        <v>3</v>
      </c>
      <c r="F18" s="208">
        <v>3</v>
      </c>
      <c r="G18" s="355">
        <v>3</v>
      </c>
      <c r="H18" s="401" t="s">
        <v>17</v>
      </c>
      <c r="I18" s="357">
        <f>IF(H18="nei",0,$E$18)</f>
        <v>0</v>
      </c>
      <c r="J18" s="358">
        <f>IF(H18="nei",0,$F$18)</f>
        <v>0</v>
      </c>
      <c r="K18" s="359">
        <f>IF(H18="nei",0,$G$18)</f>
        <v>0</v>
      </c>
      <c r="L18" s="650"/>
    </row>
    <row r="19" spans="1:12" ht="53.25" customHeight="1" thickBot="1" x14ac:dyDescent="0.3">
      <c r="A19" s="649"/>
      <c r="B19" s="889"/>
      <c r="C19" s="829" t="s">
        <v>427</v>
      </c>
      <c r="D19" s="830"/>
      <c r="E19" s="830"/>
      <c r="F19" s="830"/>
      <c r="G19" s="830"/>
      <c r="H19" s="831"/>
      <c r="I19" s="170">
        <f>SUM(I8:I18)</f>
        <v>0</v>
      </c>
      <c r="J19" s="171">
        <f>SUM(J8:J18)</f>
        <v>0</v>
      </c>
      <c r="K19" s="172">
        <f>SUM(K8:K18)</f>
        <v>0</v>
      </c>
      <c r="L19" s="650"/>
    </row>
    <row r="20" spans="1:12" ht="15.75" thickBot="1" x14ac:dyDescent="0.3">
      <c r="A20" s="649"/>
      <c r="B20" s="556"/>
      <c r="C20" s="212"/>
      <c r="D20" s="212"/>
      <c r="E20" s="556"/>
      <c r="F20" s="556"/>
      <c r="G20" s="556"/>
      <c r="H20" s="556"/>
      <c r="I20" s="556"/>
      <c r="J20" s="212"/>
      <c r="K20" s="212"/>
      <c r="L20" s="650"/>
    </row>
    <row r="21" spans="1:12" ht="39.75" customHeight="1" x14ac:dyDescent="0.25">
      <c r="A21" s="649"/>
      <c r="B21" s="843" t="s">
        <v>209</v>
      </c>
      <c r="C21" s="882" t="s">
        <v>152</v>
      </c>
      <c r="D21" s="879" t="s">
        <v>305</v>
      </c>
      <c r="E21" s="880"/>
      <c r="F21" s="880"/>
      <c r="G21" s="880"/>
      <c r="H21" s="881"/>
      <c r="I21" s="367" t="s">
        <v>97</v>
      </c>
      <c r="J21" s="561" t="s">
        <v>98</v>
      </c>
      <c r="K21" s="368" t="s">
        <v>99</v>
      </c>
      <c r="L21" s="650"/>
    </row>
    <row r="22" spans="1:12" ht="29.1" customHeight="1" x14ac:dyDescent="0.25">
      <c r="A22" s="649"/>
      <c r="B22" s="844"/>
      <c r="C22" s="883"/>
      <c r="D22" s="875" t="s">
        <v>151</v>
      </c>
      <c r="E22" s="875"/>
      <c r="F22" s="875"/>
      <c r="G22" s="213">
        <v>0.4</v>
      </c>
      <c r="H22" s="402" t="s">
        <v>17</v>
      </c>
      <c r="I22" s="169">
        <f>IF($H$22="nei",0,I19*$G$22)</f>
        <v>0</v>
      </c>
      <c r="J22" s="167">
        <f>IF($H$22="nei",0,J19*$G$22)</f>
        <v>0</v>
      </c>
      <c r="K22" s="168">
        <f>IF($H$22="nei",0,K19*$G$22)</f>
        <v>0</v>
      </c>
      <c r="L22" s="650"/>
    </row>
    <row r="23" spans="1:12" ht="34.5" customHeight="1" x14ac:dyDescent="0.25">
      <c r="A23" s="649"/>
      <c r="B23" s="844"/>
      <c r="C23" s="883"/>
      <c r="D23" s="874" t="s">
        <v>194</v>
      </c>
      <c r="E23" s="874"/>
      <c r="F23" s="874"/>
      <c r="G23" s="213">
        <v>0.2</v>
      </c>
      <c r="H23" s="402" t="s">
        <v>17</v>
      </c>
      <c r="I23" s="169">
        <f>IF($H$23="nei",0,I19*$G$23)</f>
        <v>0</v>
      </c>
      <c r="J23" s="167">
        <f>IF($H$23="nei",0,J19*$G$23)</f>
        <v>0</v>
      </c>
      <c r="K23" s="168">
        <f>IF($H$23="nei",0,K19*$G$23)</f>
        <v>0</v>
      </c>
      <c r="L23" s="650"/>
    </row>
    <row r="24" spans="1:12" ht="54" customHeight="1" x14ac:dyDescent="0.25">
      <c r="A24" s="649"/>
      <c r="B24" s="844"/>
      <c r="C24" s="883"/>
      <c r="D24" s="874" t="s">
        <v>306</v>
      </c>
      <c r="E24" s="874"/>
      <c r="F24" s="874"/>
      <c r="G24" s="213">
        <v>0.1</v>
      </c>
      <c r="H24" s="402" t="s">
        <v>17</v>
      </c>
      <c r="I24" s="169">
        <f>IF($H$24="nei",0,I19*$G$24)</f>
        <v>0</v>
      </c>
      <c r="J24" s="167">
        <f>IF($H$24="nei",0,J19*$G$24)</f>
        <v>0</v>
      </c>
      <c r="K24" s="168">
        <f>IF($H$24="nei",0,K19*$G$24)</f>
        <v>0</v>
      </c>
      <c r="L24" s="650"/>
    </row>
    <row r="25" spans="1:12" ht="60.75" customHeight="1" thickBot="1" x14ac:dyDescent="0.3">
      <c r="A25" s="649"/>
      <c r="B25" s="844"/>
      <c r="C25" s="884"/>
      <c r="D25" s="872" t="s">
        <v>307</v>
      </c>
      <c r="E25" s="872"/>
      <c r="F25" s="872"/>
      <c r="G25" s="369">
        <v>0</v>
      </c>
      <c r="H25" s="403" t="s">
        <v>17</v>
      </c>
      <c r="I25" s="357">
        <f>IF($H$25="nei",0,I19*$G$25)</f>
        <v>0</v>
      </c>
      <c r="J25" s="358">
        <f>IF($H$25="nei",0,J19*$G$25)</f>
        <v>0</v>
      </c>
      <c r="K25" s="359">
        <f>IF($H$25="nei",0,K19*$G$25)</f>
        <v>0</v>
      </c>
      <c r="L25" s="650"/>
    </row>
    <row r="26" spans="1:12" ht="33.75" customHeight="1" x14ac:dyDescent="0.25">
      <c r="A26" s="649"/>
      <c r="B26" s="844"/>
      <c r="C26" s="876" t="s">
        <v>153</v>
      </c>
      <c r="D26" s="879" t="s">
        <v>308</v>
      </c>
      <c r="E26" s="880"/>
      <c r="F26" s="880"/>
      <c r="G26" s="880"/>
      <c r="H26" s="881"/>
      <c r="I26" s="349"/>
      <c r="J26" s="370"/>
      <c r="K26" s="351"/>
      <c r="L26" s="650"/>
    </row>
    <row r="27" spans="1:12" ht="28.35" customHeight="1" x14ac:dyDescent="0.25">
      <c r="A27" s="649"/>
      <c r="B27" s="844"/>
      <c r="C27" s="877"/>
      <c r="D27" s="873" t="s">
        <v>151</v>
      </c>
      <c r="E27" s="873"/>
      <c r="F27" s="873"/>
      <c r="G27" s="371">
        <v>0.4</v>
      </c>
      <c r="H27" s="404" t="s">
        <v>17</v>
      </c>
      <c r="I27" s="166">
        <f>IF($H$27="nei",0,I19*$G$27)</f>
        <v>0</v>
      </c>
      <c r="J27" s="177">
        <f>IF($H$27="nei",0,J19*$G$27)</f>
        <v>0</v>
      </c>
      <c r="K27" s="178">
        <f>IF($H$27="nei",0,K19*$G$27)</f>
        <v>0</v>
      </c>
      <c r="L27" s="650"/>
    </row>
    <row r="28" spans="1:12" ht="42.75" customHeight="1" x14ac:dyDescent="0.25">
      <c r="A28" s="649"/>
      <c r="B28" s="844"/>
      <c r="C28" s="877"/>
      <c r="D28" s="874" t="s">
        <v>309</v>
      </c>
      <c r="E28" s="874"/>
      <c r="F28" s="874"/>
      <c r="G28" s="213">
        <v>0.2</v>
      </c>
      <c r="H28" s="402" t="s">
        <v>17</v>
      </c>
      <c r="I28" s="169">
        <f>IF($H$28="nei",0,I19*$G$28)</f>
        <v>0</v>
      </c>
      <c r="J28" s="167">
        <f>IF($H$28="nei",0,J19*$G$28)</f>
        <v>0</v>
      </c>
      <c r="K28" s="168">
        <f>IF($H$28="nei",0,K19*$G$28)</f>
        <v>0</v>
      </c>
      <c r="L28" s="650"/>
    </row>
    <row r="29" spans="1:12" ht="45" customHeight="1" x14ac:dyDescent="0.25">
      <c r="A29" s="649"/>
      <c r="B29" s="844"/>
      <c r="C29" s="877"/>
      <c r="D29" s="874" t="s">
        <v>310</v>
      </c>
      <c r="E29" s="874"/>
      <c r="F29" s="874"/>
      <c r="G29" s="213">
        <v>0</v>
      </c>
      <c r="H29" s="402" t="s">
        <v>17</v>
      </c>
      <c r="I29" s="169">
        <f>IF($H$29="nei",0,I19*$G$29)</f>
        <v>0</v>
      </c>
      <c r="J29" s="167">
        <f>IF($H$29="nei",0,J19*$G$29)</f>
        <v>0</v>
      </c>
      <c r="K29" s="168">
        <f>IF($H$29="nei",0,K19*$G$29)</f>
        <v>0</v>
      </c>
      <c r="L29" s="650"/>
    </row>
    <row r="30" spans="1:12" ht="39" customHeight="1" x14ac:dyDescent="0.25">
      <c r="A30" s="649"/>
      <c r="B30" s="844"/>
      <c r="C30" s="877"/>
      <c r="D30" s="874" t="s">
        <v>311</v>
      </c>
      <c r="E30" s="874"/>
      <c r="F30" s="874"/>
      <c r="G30" s="213">
        <v>0.2</v>
      </c>
      <c r="H30" s="402" t="s">
        <v>17</v>
      </c>
      <c r="I30" s="169">
        <f>IF($H$30="nei",0,I19*$G$30)</f>
        <v>0</v>
      </c>
      <c r="J30" s="167">
        <f>IF($H$30="nei",0,J19*$G$30)</f>
        <v>0</v>
      </c>
      <c r="K30" s="168">
        <f>IF($H$30="nei",0,K19*$G$30)</f>
        <v>0</v>
      </c>
      <c r="L30" s="650"/>
    </row>
    <row r="31" spans="1:12" ht="36.75" customHeight="1" thickBot="1" x14ac:dyDescent="0.3">
      <c r="A31" s="649"/>
      <c r="B31" s="845"/>
      <c r="C31" s="878"/>
      <c r="D31" s="872" t="s">
        <v>312</v>
      </c>
      <c r="E31" s="872"/>
      <c r="F31" s="872"/>
      <c r="G31" s="369">
        <v>0</v>
      </c>
      <c r="H31" s="403" t="s">
        <v>17</v>
      </c>
      <c r="I31" s="357">
        <f>IF($H$31="nei",0,I19*$G$31)</f>
        <v>0</v>
      </c>
      <c r="J31" s="358">
        <f>IF($H$31="nei",0,J19*$G$31)</f>
        <v>0</v>
      </c>
      <c r="K31" s="359">
        <f>IF($H$31="nei",0,K19*$G$31)</f>
        <v>0</v>
      </c>
      <c r="L31" s="650"/>
    </row>
    <row r="32" spans="1:12" ht="15.75" thickBot="1" x14ac:dyDescent="0.3">
      <c r="A32" s="649"/>
      <c r="B32" s="667"/>
      <c r="C32" s="323"/>
      <c r="D32" s="323"/>
      <c r="E32" s="667"/>
      <c r="F32" s="667"/>
      <c r="G32" s="667"/>
      <c r="H32" s="667"/>
      <c r="I32" s="667"/>
      <c r="J32" s="323"/>
      <c r="K32" s="323"/>
      <c r="L32" s="650"/>
    </row>
    <row r="33" spans="1:12" ht="60" customHeight="1" thickBot="1" x14ac:dyDescent="0.3">
      <c r="A33" s="649"/>
      <c r="B33" s="869" t="s">
        <v>212</v>
      </c>
      <c r="C33" s="870"/>
      <c r="D33" s="870"/>
      <c r="E33" s="870"/>
      <c r="F33" s="870"/>
      <c r="G33" s="870"/>
      <c r="H33" s="871"/>
      <c r="I33" s="498">
        <f>I19-SUM(I22:I31)</f>
        <v>0</v>
      </c>
      <c r="J33" s="171">
        <f t="shared" ref="J33" si="0">J19-SUM(J22:J31)</f>
        <v>0</v>
      </c>
      <c r="K33" s="172">
        <f>K19-SUM(K22:K31)</f>
        <v>0</v>
      </c>
      <c r="L33" s="650"/>
    </row>
    <row r="34" spans="1:12" x14ac:dyDescent="0.25">
      <c r="A34" s="649"/>
      <c r="B34" s="654"/>
      <c r="C34" s="653"/>
      <c r="D34" s="653"/>
      <c r="E34" s="654"/>
      <c r="F34" s="654"/>
      <c r="G34" s="654"/>
      <c r="H34" s="654"/>
      <c r="I34" s="654"/>
      <c r="J34" s="653"/>
      <c r="K34" s="653"/>
      <c r="L34" s="650"/>
    </row>
    <row r="35" spans="1:12" x14ac:dyDescent="0.25">
      <c r="A35" s="649"/>
      <c r="B35" s="654"/>
      <c r="C35" s="653"/>
      <c r="D35" s="653"/>
      <c r="E35" s="654"/>
      <c r="F35" s="654"/>
      <c r="G35" s="654"/>
      <c r="H35" s="654"/>
      <c r="I35" s="654"/>
      <c r="J35" s="653"/>
      <c r="K35" s="653"/>
      <c r="L35" s="650"/>
    </row>
    <row r="36" spans="1:12" x14ac:dyDescent="0.25">
      <c r="A36" s="656"/>
      <c r="B36" s="658"/>
      <c r="C36" s="657"/>
      <c r="D36" s="657"/>
      <c r="E36" s="658"/>
      <c r="F36" s="658"/>
      <c r="G36" s="658"/>
      <c r="H36" s="658"/>
      <c r="I36" s="658"/>
      <c r="J36" s="657"/>
      <c r="K36" s="657"/>
      <c r="L36" s="660"/>
    </row>
    <row r="37" spans="1:12" x14ac:dyDescent="0.25">
      <c r="L37" s="304"/>
    </row>
    <row r="38" spans="1:12" x14ac:dyDescent="0.25">
      <c r="L38" s="304"/>
    </row>
  </sheetData>
  <sheetProtection sheet="1" selectLockedCells="1"/>
  <protectedRanges>
    <protectedRange sqref="H27:H31" name="Range3"/>
    <protectedRange sqref="H22:H25" name="Range2"/>
    <protectedRange sqref="H8:H18" name="Range1"/>
  </protectedRanges>
  <mergeCells count="33">
    <mergeCell ref="B33:H33"/>
    <mergeCell ref="C19:H19"/>
    <mergeCell ref="B21:B31"/>
    <mergeCell ref="C21:C25"/>
    <mergeCell ref="D21:H21"/>
    <mergeCell ref="D22:F22"/>
    <mergeCell ref="D23:F23"/>
    <mergeCell ref="D24:F24"/>
    <mergeCell ref="D25:F25"/>
    <mergeCell ref="C26:C31"/>
    <mergeCell ref="D26:H26"/>
    <mergeCell ref="D27:F27"/>
    <mergeCell ref="C16:D16"/>
    <mergeCell ref="D30:F30"/>
    <mergeCell ref="C18:D18"/>
    <mergeCell ref="D31:F31"/>
    <mergeCell ref="C17:D17"/>
    <mergeCell ref="B5:K5"/>
    <mergeCell ref="D28:F28"/>
    <mergeCell ref="D29:F29"/>
    <mergeCell ref="C15:D15"/>
    <mergeCell ref="B2:C2"/>
    <mergeCell ref="B3:C3"/>
    <mergeCell ref="B6:D6"/>
    <mergeCell ref="B7:D7"/>
    <mergeCell ref="B8:B19"/>
    <mergeCell ref="C8:D8"/>
    <mergeCell ref="C9:D9"/>
    <mergeCell ref="C10:D10"/>
    <mergeCell ref="C11:D11"/>
    <mergeCell ref="C12:D12"/>
    <mergeCell ref="C13:D13"/>
    <mergeCell ref="C14:D14"/>
  </mergeCells>
  <printOptions horizontalCentered="1" verticalCentered="1"/>
  <pageMargins left="0.78740157480314965" right="0.78740157480314965" top="1.1811023622047245" bottom="0.78740157480314965" header="0" footer="0"/>
  <pageSetup paperSize="9" scale="58" orientation="landscape" r:id="rId1"/>
  <headerFooter>
    <oddHeader>&amp;L&amp;"Times New Roman,Halvfet"&amp;16Microbial barrier analysis (MBA)
Operational tool&amp;C&amp;"Times New Roman,Halvfet"&amp;16&amp;A&amp;R&amp;"Times New Roman,Halvfet"&amp;16Page &amp;P of &amp;N
&amp;D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key!$A$2:$A$3</xm:f>
          </x14:formula1>
          <xm:sqref>H8:H18 H22:H25 H27:H31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>
    <pageSetUpPr fitToPage="1"/>
  </sheetPr>
  <dimension ref="A1:R63"/>
  <sheetViews>
    <sheetView zoomScaleNormal="100" zoomScalePageLayoutView="90" workbookViewId="0">
      <selection activeCell="B16" sqref="B16:C16"/>
    </sheetView>
  </sheetViews>
  <sheetFormatPr baseColWidth="10" defaultColWidth="11.42578125" defaultRowHeight="15" x14ac:dyDescent="0.25"/>
  <cols>
    <col min="1" max="1" width="2.42578125" style="54" customWidth="1"/>
    <col min="2" max="2" width="7.140625" style="54" customWidth="1"/>
    <col min="3" max="3" width="45.42578125" style="54" customWidth="1"/>
    <col min="4" max="4" width="12.140625" style="54" customWidth="1"/>
    <col min="5" max="5" width="13.28515625" style="54" customWidth="1"/>
    <col min="6" max="6" width="14.28515625" style="54" customWidth="1"/>
    <col min="7" max="7" width="12.140625" style="54" customWidth="1"/>
    <col min="8" max="8" width="12.5703125" style="54" customWidth="1"/>
    <col min="9" max="9" width="12.42578125" style="54" customWidth="1"/>
    <col min="10" max="10" width="12.140625" style="54" customWidth="1"/>
    <col min="11" max="11" width="12" style="507" customWidth="1"/>
    <col min="12" max="13" width="11.42578125" style="507"/>
    <col min="14" max="16384" width="11.42578125" style="54"/>
  </cols>
  <sheetData>
    <row r="1" spans="1:14" ht="15.75" thickBot="1" x14ac:dyDescent="0.3">
      <c r="A1" s="619"/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38"/>
    </row>
    <row r="2" spans="1:14" ht="30" customHeight="1" x14ac:dyDescent="0.25">
      <c r="A2" s="672"/>
      <c r="B2" s="803" t="str">
        <f>Innsjø!B2</f>
        <v>Vannverkseier:</v>
      </c>
      <c r="C2" s="914"/>
      <c r="D2" s="926" t="str">
        <f>Innsjø!D2</f>
        <v>BB</v>
      </c>
      <c r="E2" s="927"/>
      <c r="F2" s="927"/>
      <c r="G2" s="928"/>
      <c r="H2" s="212"/>
      <c r="I2" s="212"/>
      <c r="J2" s="212"/>
      <c r="K2" s="301"/>
      <c r="L2" s="301"/>
      <c r="M2" s="301"/>
      <c r="N2" s="673"/>
    </row>
    <row r="3" spans="1:14" ht="30.75" customHeight="1" thickBot="1" x14ac:dyDescent="0.3">
      <c r="A3" s="672"/>
      <c r="B3" s="805" t="str">
        <f>Innsjø!B3</f>
        <v>Vannverkets navn:</v>
      </c>
      <c r="C3" s="915"/>
      <c r="D3" s="923" t="str">
        <f>Innsjø!D3</f>
        <v>VV</v>
      </c>
      <c r="E3" s="924"/>
      <c r="F3" s="924"/>
      <c r="G3" s="925"/>
      <c r="H3" s="212"/>
      <c r="I3" s="212"/>
      <c r="J3" s="212"/>
      <c r="K3" s="301"/>
      <c r="L3" s="301"/>
      <c r="M3" s="301"/>
      <c r="N3" s="673"/>
    </row>
    <row r="4" spans="1:14" ht="19.5" customHeight="1" thickBot="1" x14ac:dyDescent="0.3">
      <c r="A4" s="672"/>
      <c r="B4" s="322"/>
      <c r="C4" s="322"/>
      <c r="D4" s="322"/>
      <c r="E4" s="322"/>
      <c r="F4" s="322"/>
      <c r="G4" s="322"/>
      <c r="H4" s="322"/>
      <c r="I4" s="212"/>
      <c r="J4" s="212"/>
      <c r="K4" s="301"/>
      <c r="L4" s="301"/>
      <c r="M4" s="301"/>
      <c r="N4" s="673"/>
    </row>
    <row r="5" spans="1:14" ht="30.75" customHeight="1" thickBot="1" x14ac:dyDescent="0.3">
      <c r="A5" s="672"/>
      <c r="B5" s="920" t="s">
        <v>322</v>
      </c>
      <c r="C5" s="921"/>
      <c r="D5" s="921"/>
      <c r="E5" s="921"/>
      <c r="F5" s="921"/>
      <c r="G5" s="922"/>
      <c r="H5" s="212"/>
      <c r="I5" s="212"/>
      <c r="J5" s="212"/>
      <c r="K5" s="301"/>
      <c r="L5" s="301"/>
      <c r="M5" s="301"/>
      <c r="N5" s="673"/>
    </row>
    <row r="6" spans="1:14" ht="18.75" customHeight="1" thickBot="1" x14ac:dyDescent="0.3">
      <c r="A6" s="672"/>
      <c r="B6" s="931"/>
      <c r="C6" s="931"/>
      <c r="D6" s="931"/>
      <c r="E6" s="931"/>
      <c r="F6" s="931"/>
      <c r="G6" s="931"/>
      <c r="H6" s="212"/>
      <c r="I6" s="212"/>
      <c r="J6" s="212"/>
      <c r="K6" s="301"/>
      <c r="L6" s="301"/>
      <c r="M6" s="301"/>
      <c r="N6" s="673"/>
    </row>
    <row r="7" spans="1:14" ht="30" x14ac:dyDescent="0.25">
      <c r="A7" s="672"/>
      <c r="B7" s="904" t="s">
        <v>320</v>
      </c>
      <c r="C7" s="905"/>
      <c r="D7" s="391" t="s">
        <v>97</v>
      </c>
      <c r="E7" s="558" t="s">
        <v>220</v>
      </c>
      <c r="F7" s="570" t="s">
        <v>317</v>
      </c>
      <c r="G7" s="214" t="s">
        <v>99</v>
      </c>
      <c r="H7" s="300"/>
      <c r="I7" s="75"/>
      <c r="J7" s="300"/>
      <c r="K7" s="536"/>
      <c r="L7" s="301"/>
      <c r="M7" s="301"/>
      <c r="N7" s="673"/>
    </row>
    <row r="8" spans="1:14" ht="27" customHeight="1" x14ac:dyDescent="0.25">
      <c r="A8" s="672"/>
      <c r="B8" s="916" t="s">
        <v>214</v>
      </c>
      <c r="C8" s="917"/>
      <c r="D8" s="392">
        <v>4</v>
      </c>
      <c r="E8" s="215">
        <v>3.5</v>
      </c>
      <c r="F8" s="215">
        <v>1.25</v>
      </c>
      <c r="G8" s="216">
        <v>4</v>
      </c>
      <c r="H8" s="220"/>
      <c r="I8" s="75"/>
      <c r="J8" s="221"/>
      <c r="K8" s="536"/>
      <c r="L8" s="301"/>
      <c r="M8" s="301"/>
      <c r="N8" s="673"/>
    </row>
    <row r="9" spans="1:14" ht="27" customHeight="1" thickBot="1" x14ac:dyDescent="0.3">
      <c r="A9" s="672"/>
      <c r="B9" s="918" t="s">
        <v>215</v>
      </c>
      <c r="C9" s="919"/>
      <c r="D9" s="393">
        <v>3</v>
      </c>
      <c r="E9" s="217">
        <v>2.5</v>
      </c>
      <c r="F9" s="217">
        <v>0.75</v>
      </c>
      <c r="G9" s="218">
        <v>3</v>
      </c>
      <c r="H9" s="220"/>
      <c r="I9" s="75"/>
      <c r="J9" s="221"/>
      <c r="K9" s="536"/>
      <c r="L9" s="301"/>
      <c r="M9" s="301"/>
      <c r="N9" s="673"/>
    </row>
    <row r="10" spans="1:14" ht="13.5" customHeight="1" thickBot="1" x14ac:dyDescent="0.3">
      <c r="A10" s="672"/>
      <c r="B10" s="222"/>
      <c r="C10" s="219"/>
      <c r="D10" s="220"/>
      <c r="E10" s="221"/>
      <c r="F10" s="221"/>
      <c r="G10" s="221"/>
      <c r="H10" s="220"/>
      <c r="I10" s="75"/>
      <c r="J10" s="221"/>
      <c r="K10" s="536"/>
      <c r="L10" s="301"/>
      <c r="M10" s="301"/>
      <c r="N10" s="673"/>
    </row>
    <row r="11" spans="1:14" ht="36.75" customHeight="1" x14ac:dyDescent="0.25">
      <c r="A11" s="672"/>
      <c r="B11" s="904" t="s">
        <v>323</v>
      </c>
      <c r="C11" s="905"/>
      <c r="D11" s="394" t="s">
        <v>97</v>
      </c>
      <c r="E11" s="559" t="s">
        <v>220</v>
      </c>
      <c r="F11" s="564" t="s">
        <v>317</v>
      </c>
      <c r="G11" s="247" t="s">
        <v>99</v>
      </c>
      <c r="H11" s="324"/>
      <c r="I11" s="75"/>
      <c r="J11" s="324"/>
      <c r="K11" s="536"/>
      <c r="L11" s="301"/>
      <c r="M11" s="301"/>
      <c r="N11" s="673"/>
    </row>
    <row r="12" spans="1:14" ht="27" customHeight="1" x14ac:dyDescent="0.25">
      <c r="A12" s="672"/>
      <c r="B12" s="906" t="s">
        <v>218</v>
      </c>
      <c r="C12" s="907"/>
      <c r="D12" s="395">
        <v>3.5</v>
      </c>
      <c r="E12" s="248">
        <v>3</v>
      </c>
      <c r="F12" s="248">
        <v>1</v>
      </c>
      <c r="G12" s="249">
        <v>3.5</v>
      </c>
      <c r="H12" s="325"/>
      <c r="I12" s="75"/>
      <c r="J12" s="326"/>
      <c r="K12" s="536"/>
      <c r="L12" s="301"/>
      <c r="M12" s="301"/>
      <c r="N12" s="673"/>
    </row>
    <row r="13" spans="1:14" ht="27" customHeight="1" thickBot="1" x14ac:dyDescent="0.3">
      <c r="A13" s="672"/>
      <c r="B13" s="908" t="s">
        <v>219</v>
      </c>
      <c r="C13" s="909"/>
      <c r="D13" s="396">
        <v>3</v>
      </c>
      <c r="E13" s="251">
        <v>2.5</v>
      </c>
      <c r="F13" s="251">
        <v>0.75</v>
      </c>
      <c r="G13" s="252">
        <v>3</v>
      </c>
      <c r="H13" s="325"/>
      <c r="I13" s="75"/>
      <c r="J13" s="326"/>
      <c r="K13" s="536"/>
      <c r="L13" s="301"/>
      <c r="M13" s="301"/>
      <c r="N13" s="673"/>
    </row>
    <row r="14" spans="1:14" ht="18.75" thickBot="1" x14ac:dyDescent="0.3">
      <c r="A14" s="672"/>
      <c r="B14" s="222"/>
      <c r="C14" s="219"/>
      <c r="D14" s="220"/>
      <c r="E14" s="221"/>
      <c r="F14" s="221"/>
      <c r="G14" s="220"/>
      <c r="H14" s="221"/>
      <c r="I14" s="221"/>
      <c r="J14" s="212"/>
      <c r="K14" s="301"/>
      <c r="L14" s="301"/>
      <c r="M14" s="301"/>
      <c r="N14" s="673"/>
    </row>
    <row r="15" spans="1:14" s="56" customFormat="1" ht="69.75" customHeight="1" x14ac:dyDescent="0.25">
      <c r="A15" s="672"/>
      <c r="B15" s="910" t="s">
        <v>328</v>
      </c>
      <c r="C15" s="911"/>
      <c r="D15" s="397" t="s">
        <v>97</v>
      </c>
      <c r="E15" s="558" t="s">
        <v>318</v>
      </c>
      <c r="F15" s="558" t="s">
        <v>319</v>
      </c>
      <c r="G15" s="223" t="s">
        <v>99</v>
      </c>
      <c r="H15" s="221"/>
      <c r="I15" s="212"/>
      <c r="J15" s="212"/>
      <c r="K15" s="301"/>
      <c r="L15" s="301"/>
      <c r="M15" s="301"/>
      <c r="N15" s="673"/>
    </row>
    <row r="16" spans="1:14" s="56" customFormat="1" ht="34.5" customHeight="1" thickBot="1" x14ac:dyDescent="0.3">
      <c r="A16" s="672"/>
      <c r="B16" s="912" t="s">
        <v>173</v>
      </c>
      <c r="C16" s="913"/>
      <c r="D16" s="398">
        <f>IF($B$16="","",IF($B$16="Velg kategori","",VLOOKUP($B$16,key!$A$6:$B$16,2,FALSE)))</f>
        <v>0</v>
      </c>
      <c r="E16" s="146">
        <f>IF(B16="40 mJ/cm2 biodosimetrisk basert på Adenovirus","",IF(B16="30 mJ/cm2 gjennomsnittsdose basert på Adenovirus","",IF(B16="25 mJ/cm2 veggdose basert på Adenovirus","",IF($B$16="","",IF($B$16="Velg kategori","",VLOOKUP($B$16,key!$C$6:$D$15,2,FALSE))))))</f>
        <v>0</v>
      </c>
      <c r="F16" s="146">
        <f>IF(B16="40 mJ/cm2 biodosimetrisk eks. Adenovirus","",IF(B16="30 mJ/cm2 gjennomsnittsdose eks. Adenovirus","",IF(B16="25 mJ/cm2 veggdose eks. Adenovirus","",IF($B$16="","",IF($B$16="Velg kategori","",VLOOKUP($B$16,key!$C$6:$D$16,2,FALSE))))))</f>
        <v>0</v>
      </c>
      <c r="G16" s="147">
        <f>IF($B$16="","",IF($B$16="Velg kategori","",VLOOKUP($B$16,key!$E$6:$F$16,2,FALSE)))</f>
        <v>0</v>
      </c>
      <c r="H16" s="221"/>
      <c r="I16" s="212"/>
      <c r="J16" s="212"/>
      <c r="K16" s="301"/>
      <c r="L16" s="301"/>
      <c r="M16" s="301"/>
      <c r="N16" s="673"/>
    </row>
    <row r="17" spans="1:14" s="56" customFormat="1" ht="30.75" customHeight="1" thickBot="1" x14ac:dyDescent="0.3">
      <c r="A17" s="672"/>
      <c r="B17" s="222"/>
      <c r="C17" s="219"/>
      <c r="D17" s="212"/>
      <c r="E17" s="212"/>
      <c r="F17" s="212"/>
      <c r="G17" s="221"/>
      <c r="H17" s="221"/>
      <c r="I17" s="212"/>
      <c r="J17" s="212"/>
      <c r="K17" s="301"/>
      <c r="L17" s="301"/>
      <c r="M17" s="301"/>
      <c r="N17" s="673"/>
    </row>
    <row r="18" spans="1:14" ht="60" customHeight="1" thickBot="1" x14ac:dyDescent="0.3">
      <c r="A18" s="672"/>
      <c r="B18" s="773" t="s">
        <v>324</v>
      </c>
      <c r="C18" s="929"/>
      <c r="D18" s="929"/>
      <c r="E18" s="929"/>
      <c r="F18" s="929"/>
      <c r="G18" s="929"/>
      <c r="H18" s="929"/>
      <c r="I18" s="929"/>
      <c r="J18" s="929"/>
      <c r="K18" s="929"/>
      <c r="L18" s="929"/>
      <c r="M18" s="930"/>
      <c r="N18" s="674"/>
    </row>
    <row r="19" spans="1:14" ht="18" customHeight="1" thickBot="1" x14ac:dyDescent="0.3">
      <c r="A19" s="938"/>
      <c r="B19" s="939"/>
      <c r="C19" s="939"/>
      <c r="D19" s="939"/>
      <c r="E19" s="939"/>
      <c r="F19" s="939"/>
      <c r="G19" s="939"/>
      <c r="H19" s="939"/>
      <c r="I19" s="939"/>
      <c r="J19" s="939"/>
      <c r="K19" s="939"/>
      <c r="L19" s="939"/>
      <c r="M19" s="939"/>
      <c r="N19" s="940"/>
    </row>
    <row r="20" spans="1:14" ht="57.75" customHeight="1" thickBot="1" x14ac:dyDescent="0.3">
      <c r="A20" s="672"/>
      <c r="B20" s="226" t="s">
        <v>37</v>
      </c>
      <c r="C20" s="935" t="s">
        <v>225</v>
      </c>
      <c r="D20" s="774"/>
      <c r="E20" s="937"/>
      <c r="F20" s="261" t="s">
        <v>2</v>
      </c>
      <c r="G20" s="262" t="s">
        <v>265</v>
      </c>
      <c r="H20" s="226" t="s">
        <v>97</v>
      </c>
      <c r="I20" s="224" t="s">
        <v>98</v>
      </c>
      <c r="J20" s="225" t="s">
        <v>99</v>
      </c>
      <c r="K20" s="537" t="s">
        <v>97</v>
      </c>
      <c r="L20" s="499" t="s">
        <v>98</v>
      </c>
      <c r="M20" s="538" t="s">
        <v>99</v>
      </c>
      <c r="N20" s="673"/>
    </row>
    <row r="21" spans="1:14" ht="29.25" customHeight="1" x14ac:dyDescent="0.25">
      <c r="A21" s="672"/>
      <c r="B21" s="416"/>
      <c r="C21" s="417" t="s">
        <v>213</v>
      </c>
      <c r="D21" s="557"/>
      <c r="E21" s="418">
        <v>0.1</v>
      </c>
      <c r="F21" s="260"/>
      <c r="G21" s="56"/>
      <c r="H21" s="539">
        <f>D16</f>
        <v>0</v>
      </c>
      <c r="I21" s="245">
        <f>IF($E$16="",$F$16,$E$16)</f>
        <v>0</v>
      </c>
      <c r="J21" s="246">
        <f>G16</f>
        <v>0</v>
      </c>
      <c r="K21" s="539">
        <f>-$E$21*H21</f>
        <v>0</v>
      </c>
      <c r="L21" s="500">
        <f>-$E$21*I21</f>
        <v>0</v>
      </c>
      <c r="M21" s="540">
        <f>-$E$21*J21</f>
        <v>0</v>
      </c>
      <c r="N21" s="673"/>
    </row>
    <row r="22" spans="1:14" ht="36.75" customHeight="1" x14ac:dyDescent="0.25">
      <c r="A22" s="672"/>
      <c r="B22" s="550" t="s">
        <v>38</v>
      </c>
      <c r="C22" s="933" t="s">
        <v>227</v>
      </c>
      <c r="D22" s="934"/>
      <c r="E22" s="231">
        <v>0.1</v>
      </c>
      <c r="F22" s="419" t="s">
        <v>17</v>
      </c>
      <c r="G22" s="420">
        <f>IF(F22="nei",0,E22)</f>
        <v>0</v>
      </c>
      <c r="H22" s="941"/>
      <c r="I22" s="942"/>
      <c r="J22" s="943"/>
      <c r="K22" s="541">
        <f>G22*$H$21</f>
        <v>0</v>
      </c>
      <c r="L22" s="501">
        <f>G22*$I$21</f>
        <v>0</v>
      </c>
      <c r="M22" s="542">
        <f>G22*$J$21</f>
        <v>0</v>
      </c>
      <c r="N22" s="673"/>
    </row>
    <row r="23" spans="1:14" ht="36" customHeight="1" x14ac:dyDescent="0.25">
      <c r="A23" s="672"/>
      <c r="B23" s="550" t="s">
        <v>39</v>
      </c>
      <c r="C23" s="933" t="s">
        <v>226</v>
      </c>
      <c r="D23" s="934"/>
      <c r="E23" s="231">
        <v>0.05</v>
      </c>
      <c r="F23" s="419" t="s">
        <v>17</v>
      </c>
      <c r="G23" s="420">
        <f>IF(F23="nei",0,E23)</f>
        <v>0</v>
      </c>
      <c r="H23" s="944"/>
      <c r="I23" s="945"/>
      <c r="J23" s="946"/>
      <c r="K23" s="541">
        <f>G23*$H$21</f>
        <v>0</v>
      </c>
      <c r="L23" s="501">
        <f>G23*$I$21</f>
        <v>0</v>
      </c>
      <c r="M23" s="542">
        <f>G23*$J$21</f>
        <v>0</v>
      </c>
      <c r="N23" s="673"/>
    </row>
    <row r="24" spans="1:14" ht="31.5" customHeight="1" thickBot="1" x14ac:dyDescent="0.3">
      <c r="A24" s="672"/>
      <c r="B24" s="551"/>
      <c r="C24" s="256" t="s">
        <v>1</v>
      </c>
      <c r="D24" s="257"/>
      <c r="E24" s="257"/>
      <c r="F24" s="257"/>
      <c r="G24" s="258"/>
      <c r="H24" s="258"/>
      <c r="I24" s="258"/>
      <c r="J24" s="259"/>
      <c r="K24" s="543">
        <f>IF(SUM($G$22:$G$23)=0%,K21,IF(SUM($G$22:$G$23)=5%,K21+H21*$E$23,IF(SUM($G$22:$G$23)=10%,K21+H21*$E$22,0)))</f>
        <v>0</v>
      </c>
      <c r="L24" s="502">
        <f>IF(SUM($G$22:$G$23)=0%,L21,IF(SUM($G$22:$G$23)=5%,L21+I21*$E$23,IF(SUM($G$22:$G$23)=10%,L21+I21*$E$22,0)))</f>
        <v>0</v>
      </c>
      <c r="M24" s="544">
        <f>IF(SUM($G$22:$G$23)=0%,M21,IF(SUM($G$22:$G$23)=5%,M21+J21*$G$23,IF(SUM($G$22:$G$23)=10%,M21+J21*$G$22,0)))</f>
        <v>0</v>
      </c>
      <c r="N24" s="673"/>
    </row>
    <row r="25" spans="1:14" ht="20.25" customHeight="1" thickBot="1" x14ac:dyDescent="0.3">
      <c r="A25" s="672"/>
      <c r="B25" s="212"/>
      <c r="C25" s="311"/>
      <c r="D25" s="311"/>
      <c r="E25" s="228"/>
      <c r="F25" s="229"/>
      <c r="G25" s="230"/>
      <c r="H25" s="212"/>
      <c r="I25" s="212"/>
      <c r="J25" s="212"/>
      <c r="K25" s="675"/>
      <c r="L25" s="675"/>
      <c r="M25" s="675"/>
      <c r="N25" s="673"/>
    </row>
    <row r="26" spans="1:14" ht="31.5" customHeight="1" thickBot="1" x14ac:dyDescent="0.3">
      <c r="A26" s="672"/>
      <c r="B26" s="226" t="s">
        <v>40</v>
      </c>
      <c r="C26" s="935" t="s">
        <v>321</v>
      </c>
      <c r="D26" s="774"/>
      <c r="E26" s="774"/>
      <c r="F26" s="774"/>
      <c r="G26" s="775"/>
      <c r="H26" s="226" t="s">
        <v>97</v>
      </c>
      <c r="I26" s="224" t="s">
        <v>98</v>
      </c>
      <c r="J26" s="225" t="s">
        <v>99</v>
      </c>
      <c r="K26" s="537" t="s">
        <v>97</v>
      </c>
      <c r="L26" s="499" t="s">
        <v>98</v>
      </c>
      <c r="M26" s="538" t="s">
        <v>99</v>
      </c>
      <c r="N26" s="673"/>
    </row>
    <row r="27" spans="1:14" ht="29.25" customHeight="1" x14ac:dyDescent="0.25">
      <c r="A27" s="672"/>
      <c r="B27" s="416"/>
      <c r="C27" s="417" t="s">
        <v>213</v>
      </c>
      <c r="D27" s="557"/>
      <c r="E27" s="418">
        <v>0.2</v>
      </c>
      <c r="F27" s="260"/>
      <c r="G27" s="56"/>
      <c r="H27" s="539">
        <f>D16</f>
        <v>0</v>
      </c>
      <c r="I27" s="245">
        <f>IF($E$16="",$F$16,$E$16)</f>
        <v>0</v>
      </c>
      <c r="J27" s="246">
        <f>G16</f>
        <v>0</v>
      </c>
      <c r="K27" s="545">
        <f>-$E$27*H27</f>
        <v>0</v>
      </c>
      <c r="L27" s="429">
        <f>-$E$27*I27</f>
        <v>0</v>
      </c>
      <c r="M27" s="540">
        <f>-$E$27*J27</f>
        <v>0</v>
      </c>
      <c r="N27" s="673"/>
    </row>
    <row r="28" spans="1:14" ht="33" customHeight="1" x14ac:dyDescent="0.25">
      <c r="A28" s="672"/>
      <c r="B28" s="550" t="s">
        <v>41</v>
      </c>
      <c r="C28" s="936" t="s">
        <v>58</v>
      </c>
      <c r="D28" s="934"/>
      <c r="E28" s="231">
        <v>0.1</v>
      </c>
      <c r="F28" s="419" t="s">
        <v>17</v>
      </c>
      <c r="G28" s="233">
        <f>IF(F28="nei",0,E28)</f>
        <v>0</v>
      </c>
      <c r="H28" s="941"/>
      <c r="I28" s="942"/>
      <c r="J28" s="943"/>
      <c r="K28" s="541">
        <f>G28*$H$27</f>
        <v>0</v>
      </c>
      <c r="L28" s="503">
        <f>G28*$I$27</f>
        <v>0</v>
      </c>
      <c r="M28" s="542">
        <f>G28*$J$27</f>
        <v>0</v>
      </c>
      <c r="N28" s="673"/>
    </row>
    <row r="29" spans="1:14" ht="34.5" customHeight="1" x14ac:dyDescent="0.25">
      <c r="A29" s="672"/>
      <c r="B29" s="550" t="s">
        <v>42</v>
      </c>
      <c r="C29" s="936" t="s">
        <v>59</v>
      </c>
      <c r="D29" s="934"/>
      <c r="E29" s="231">
        <v>0.1</v>
      </c>
      <c r="F29" s="419" t="s">
        <v>17</v>
      </c>
      <c r="G29" s="233">
        <f>IF(F29="nei",0,E29)</f>
        <v>0</v>
      </c>
      <c r="H29" s="944"/>
      <c r="I29" s="945"/>
      <c r="J29" s="946"/>
      <c r="K29" s="541">
        <f>G29*$H$27</f>
        <v>0</v>
      </c>
      <c r="L29" s="503">
        <f>G29*$I$27</f>
        <v>0</v>
      </c>
      <c r="M29" s="542">
        <f>G29*$J$27</f>
        <v>0</v>
      </c>
      <c r="N29" s="673"/>
    </row>
    <row r="30" spans="1:14" ht="33" customHeight="1" x14ac:dyDescent="0.25">
      <c r="A30" s="672"/>
      <c r="B30" s="550" t="s">
        <v>43</v>
      </c>
      <c r="C30" s="936" t="s">
        <v>60</v>
      </c>
      <c r="D30" s="934"/>
      <c r="E30" s="234">
        <v>0.05</v>
      </c>
      <c r="F30" s="421" t="s">
        <v>17</v>
      </c>
      <c r="G30" s="235">
        <f>IF(F30="nei",0,E30)</f>
        <v>0</v>
      </c>
      <c r="H30" s="947"/>
      <c r="I30" s="948"/>
      <c r="J30" s="949"/>
      <c r="K30" s="546">
        <f>G30*$H$27</f>
        <v>0</v>
      </c>
      <c r="L30" s="504">
        <f>G30*$I$27</f>
        <v>0</v>
      </c>
      <c r="M30" s="194">
        <f>G30*$J$27</f>
        <v>0</v>
      </c>
      <c r="N30" s="673"/>
    </row>
    <row r="31" spans="1:14" ht="30.75" customHeight="1" thickBot="1" x14ac:dyDescent="0.3">
      <c r="A31" s="672"/>
      <c r="B31" s="551"/>
      <c r="C31" s="256" t="s">
        <v>3</v>
      </c>
      <c r="D31" s="257"/>
      <c r="E31" s="257"/>
      <c r="F31" s="257"/>
      <c r="G31" s="258"/>
      <c r="H31" s="258"/>
      <c r="I31" s="258"/>
      <c r="J31" s="259"/>
      <c r="K31" s="543">
        <f>IF(SUM($G$28:$G$30)=0%,K27,IF(SUM($G$28:$G$30)=5%,K27+H27*$E$30,IF(SUM($G$28:$G$30)=10%,K27+H27*$E$28,IF(SUM($G$28:$G$30)=15%,K27+H27*$E$29+H27*$E$30,IF(SUM($G$28:$G$30)&gt;20%,0,K27+H27*$E$28+H27*$E$29)))))</f>
        <v>0</v>
      </c>
      <c r="L31" s="505">
        <f>IF(SUM($G$28:$G$30)=0%,L27,IF(SUM($G$28:$G$30)=5%,L27+I27*$E$30,IF(SUM($G$28:$G$30)=10%,L27+I27*$E$28,IF(SUM($G$28:$G$30)=15%,L27+I27*$E$29+I27*$E$30,IF(SUM($G$28:$G$30)&gt;20%,0,L27+I27*$E$28+I27*$E$29)))))</f>
        <v>0</v>
      </c>
      <c r="M31" s="544">
        <f>IF(SUM($G$28:$G$30)=0%,M27,IF(SUM($G$28:$G$30)=5%,M27+J27*$E$30,IF(SUM($G$28:$G$30)=10%,M27+J27*$E$28,IF(SUM($G$28:$G$30)=15%,M27+J27*$E$29+J27*$E$30,IF(SUM($G$28:$G$30)&gt;20%,0,M27+J27*$E$28+J27*$E$29)))))</f>
        <v>0</v>
      </c>
      <c r="N31" s="673"/>
    </row>
    <row r="32" spans="1:14" ht="18" customHeight="1" thickBot="1" x14ac:dyDescent="0.3">
      <c r="A32" s="672"/>
      <c r="B32" s="255"/>
      <c r="C32" s="238"/>
      <c r="D32" s="238"/>
      <c r="E32" s="239"/>
      <c r="F32" s="240"/>
      <c r="G32" s="241"/>
      <c r="H32" s="237"/>
      <c r="I32" s="212"/>
      <c r="J32" s="212"/>
      <c r="K32" s="675"/>
      <c r="L32" s="675"/>
      <c r="M32" s="675"/>
      <c r="N32" s="673"/>
    </row>
    <row r="33" spans="1:14" ht="30.75" customHeight="1" thickBot="1" x14ac:dyDescent="0.3">
      <c r="A33" s="672"/>
      <c r="B33" s="226" t="s">
        <v>44</v>
      </c>
      <c r="C33" s="424" t="s">
        <v>61</v>
      </c>
      <c r="D33" s="425"/>
      <c r="E33" s="425"/>
      <c r="F33" s="425"/>
      <c r="G33" s="426"/>
      <c r="H33" s="226" t="s">
        <v>97</v>
      </c>
      <c r="I33" s="224" t="s">
        <v>98</v>
      </c>
      <c r="J33" s="225" t="s">
        <v>99</v>
      </c>
      <c r="K33" s="537" t="s">
        <v>97</v>
      </c>
      <c r="L33" s="499" t="s">
        <v>98</v>
      </c>
      <c r="M33" s="538" t="s">
        <v>99</v>
      </c>
      <c r="N33" s="673"/>
    </row>
    <row r="34" spans="1:14" ht="27.75" customHeight="1" x14ac:dyDescent="0.25">
      <c r="A34" s="672"/>
      <c r="B34" s="416"/>
      <c r="C34" s="950" t="s">
        <v>213</v>
      </c>
      <c r="D34" s="951"/>
      <c r="E34" s="418">
        <v>0.3</v>
      </c>
      <c r="F34" s="422"/>
      <c r="G34" s="423"/>
      <c r="H34" s="227">
        <f>D16</f>
        <v>0</v>
      </c>
      <c r="I34" s="245">
        <f>IF($E$16="",$F$16,$E$16)</f>
        <v>0</v>
      </c>
      <c r="J34" s="232">
        <f>G16</f>
        <v>0</v>
      </c>
      <c r="K34" s="545">
        <f>-$E$34*H34</f>
        <v>0</v>
      </c>
      <c r="L34" s="429">
        <f>-$E$34*I34</f>
        <v>0</v>
      </c>
      <c r="M34" s="540">
        <f>-$E$34*J34</f>
        <v>0</v>
      </c>
      <c r="N34" s="673"/>
    </row>
    <row r="35" spans="1:14" ht="37.5" customHeight="1" x14ac:dyDescent="0.25">
      <c r="A35" s="672"/>
      <c r="B35" s="550" t="s">
        <v>45</v>
      </c>
      <c r="C35" s="936" t="s">
        <v>18</v>
      </c>
      <c r="D35" s="934"/>
      <c r="E35" s="231">
        <v>0.05</v>
      </c>
      <c r="F35" s="419" t="s">
        <v>17</v>
      </c>
      <c r="G35" s="233">
        <f t="shared" ref="G35:G39" si="0">IF(F35="nei",0,E35)</f>
        <v>0</v>
      </c>
      <c r="H35" s="941"/>
      <c r="I35" s="942"/>
      <c r="J35" s="943"/>
      <c r="K35" s="541">
        <f t="shared" ref="K35:K39" si="1">G35*$H$34</f>
        <v>0</v>
      </c>
      <c r="L35" s="503">
        <f>G35*$I$34</f>
        <v>0</v>
      </c>
      <c r="M35" s="542">
        <f t="shared" ref="M35:M39" si="2">G35*$J$34</f>
        <v>0</v>
      </c>
      <c r="N35" s="673"/>
    </row>
    <row r="36" spans="1:14" ht="33" customHeight="1" x14ac:dyDescent="0.25">
      <c r="A36" s="672"/>
      <c r="B36" s="550" t="s">
        <v>46</v>
      </c>
      <c r="C36" s="936" t="s">
        <v>19</v>
      </c>
      <c r="D36" s="934"/>
      <c r="E36" s="231">
        <v>0.1</v>
      </c>
      <c r="F36" s="419" t="s">
        <v>17</v>
      </c>
      <c r="G36" s="233">
        <f t="shared" si="0"/>
        <v>0</v>
      </c>
      <c r="H36" s="944"/>
      <c r="I36" s="945"/>
      <c r="J36" s="946"/>
      <c r="K36" s="541">
        <f t="shared" si="1"/>
        <v>0</v>
      </c>
      <c r="L36" s="503">
        <f t="shared" ref="L36:L39" si="3">G36*$I$34</f>
        <v>0</v>
      </c>
      <c r="M36" s="542">
        <f t="shared" si="2"/>
        <v>0</v>
      </c>
      <c r="N36" s="673"/>
    </row>
    <row r="37" spans="1:14" ht="34.5" customHeight="1" x14ac:dyDescent="0.25">
      <c r="A37" s="672"/>
      <c r="B37" s="550" t="s">
        <v>47</v>
      </c>
      <c r="C37" s="936" t="s">
        <v>20</v>
      </c>
      <c r="D37" s="934"/>
      <c r="E37" s="231">
        <v>0.05</v>
      </c>
      <c r="F37" s="419" t="s">
        <v>17</v>
      </c>
      <c r="G37" s="233">
        <f t="shared" si="0"/>
        <v>0</v>
      </c>
      <c r="H37" s="944"/>
      <c r="I37" s="945"/>
      <c r="J37" s="946"/>
      <c r="K37" s="541">
        <f t="shared" si="1"/>
        <v>0</v>
      </c>
      <c r="L37" s="503">
        <f t="shared" si="3"/>
        <v>0</v>
      </c>
      <c r="M37" s="542">
        <f t="shared" si="2"/>
        <v>0</v>
      </c>
      <c r="N37" s="673"/>
    </row>
    <row r="38" spans="1:14" ht="33.75" customHeight="1" x14ac:dyDescent="0.25">
      <c r="A38" s="672"/>
      <c r="B38" s="550" t="s">
        <v>48</v>
      </c>
      <c r="C38" s="936" t="s">
        <v>21</v>
      </c>
      <c r="D38" s="934"/>
      <c r="E38" s="231">
        <v>0.1</v>
      </c>
      <c r="F38" s="419" t="s">
        <v>17</v>
      </c>
      <c r="G38" s="233">
        <f t="shared" si="0"/>
        <v>0</v>
      </c>
      <c r="H38" s="944"/>
      <c r="I38" s="945"/>
      <c r="J38" s="946"/>
      <c r="K38" s="541">
        <f t="shared" si="1"/>
        <v>0</v>
      </c>
      <c r="L38" s="503">
        <f t="shared" si="3"/>
        <v>0</v>
      </c>
      <c r="M38" s="542">
        <f t="shared" si="2"/>
        <v>0</v>
      </c>
      <c r="N38" s="673"/>
    </row>
    <row r="39" spans="1:14" ht="30" customHeight="1" x14ac:dyDescent="0.25">
      <c r="A39" s="672"/>
      <c r="B39" s="181" t="s">
        <v>49</v>
      </c>
      <c r="C39" s="936" t="s">
        <v>22</v>
      </c>
      <c r="D39" s="934"/>
      <c r="E39" s="234">
        <v>0.05</v>
      </c>
      <c r="F39" s="421" t="s">
        <v>17</v>
      </c>
      <c r="G39" s="235">
        <f t="shared" si="0"/>
        <v>0</v>
      </c>
      <c r="H39" s="944"/>
      <c r="I39" s="945"/>
      <c r="J39" s="946"/>
      <c r="K39" s="541">
        <f t="shared" si="1"/>
        <v>0</v>
      </c>
      <c r="L39" s="503">
        <f t="shared" si="3"/>
        <v>0</v>
      </c>
      <c r="M39" s="542">
        <f t="shared" si="2"/>
        <v>0</v>
      </c>
      <c r="N39" s="673"/>
    </row>
    <row r="40" spans="1:14" ht="28.5" customHeight="1" thickBot="1" x14ac:dyDescent="0.3">
      <c r="A40" s="672"/>
      <c r="B40" s="551"/>
      <c r="C40" s="256" t="s">
        <v>4</v>
      </c>
      <c r="D40" s="258"/>
      <c r="E40" s="258"/>
      <c r="F40" s="258"/>
      <c r="G40" s="258"/>
      <c r="H40" s="258"/>
      <c r="I40" s="258"/>
      <c r="J40" s="259"/>
      <c r="K40" s="543">
        <f>IF(SUM($G$35:$G$39)=0%,$K$34,IF(SUM($G$35:$G$39)=5%,$K$34+$H$34*5%,IF(SUM($G$35:$G$39)=10%,$K$34+$H$34*10%,IF(SUM($G$35:$G$39)=15%,$K$34+$H$34*15%,IF(SUM($G$35:$G$39)=20%,$K$34+$H$34*20%,IF(SUM($G$35:$G$39)=25%,$K$34+$H$34*25%,IF(SUM($G$35:$G$39)&gt;30%,0,$K$34+$H$34*30%)))))))</f>
        <v>0</v>
      </c>
      <c r="L40" s="505">
        <f>IF(SUM($G$35:$G$39)=0%,$K$34,IF(SUM($G$35:$G$39)=5%,$K$34+$H$34*5%,IF(SUM($G$35:$G$39)=10%,$K$34+$H$34*10%,IF(SUM($G$35:$G$39)=15%,$K$34+$H$34*15%,IF(SUM($G$35:$G$39)=20%,$K$34+$H$34*20%,IF(SUM($G$35:$G$39)=25%,$K$34+$H$34*25%,IF(SUM($G$35:$G$39)&gt;30%,0,$K$34+$H$34*30%)))))))</f>
        <v>0</v>
      </c>
      <c r="M40" s="544">
        <f>IF(SUM($G$35:$G$39)=0%,$K$34,IF(SUM($G$35:$G$39)=5%,$K$34+$H$34*5%,IF(SUM($G$35:$G$39)=10%,$K$34+$H$34*10%,IF(SUM($G$35:$G$39)=15%,$K$34+$H$34*15%,IF(SUM($G$35:$G$39)=20%,$K$34+$H$34*20%,IF(SUM($G$35:$G$39)=25%,$K$34+$H$34*25%,IF(SUM($G$35:$G$39)&gt;30%,0,$K$34+$H$34*30%)))))))</f>
        <v>0</v>
      </c>
      <c r="N40" s="673"/>
    </row>
    <row r="41" spans="1:14" ht="18.75" customHeight="1" thickBot="1" x14ac:dyDescent="0.3">
      <c r="A41" s="672"/>
      <c r="B41" s="255"/>
      <c r="C41" s="238"/>
      <c r="D41" s="238"/>
      <c r="E41" s="242"/>
      <c r="F41" s="237"/>
      <c r="G41" s="243"/>
      <c r="H41" s="212"/>
      <c r="I41" s="212"/>
      <c r="J41" s="212"/>
      <c r="K41" s="301"/>
      <c r="L41" s="301"/>
      <c r="M41" s="301"/>
      <c r="N41" s="673"/>
    </row>
    <row r="42" spans="1:14" ht="36" customHeight="1" thickBot="1" x14ac:dyDescent="0.3">
      <c r="A42" s="672"/>
      <c r="B42" s="226" t="s">
        <v>50</v>
      </c>
      <c r="C42" s="424" t="s">
        <v>0</v>
      </c>
      <c r="D42" s="430"/>
      <c r="E42" s="430"/>
      <c r="F42" s="430"/>
      <c r="G42" s="426"/>
      <c r="H42" s="226" t="s">
        <v>97</v>
      </c>
      <c r="I42" s="224" t="s">
        <v>98</v>
      </c>
      <c r="J42" s="225" t="s">
        <v>99</v>
      </c>
      <c r="K42" s="537" t="s">
        <v>97</v>
      </c>
      <c r="L42" s="499" t="s">
        <v>98</v>
      </c>
      <c r="M42" s="538" t="s">
        <v>99</v>
      </c>
      <c r="N42" s="673"/>
    </row>
    <row r="43" spans="1:14" ht="31.5" customHeight="1" x14ac:dyDescent="0.25">
      <c r="A43" s="672"/>
      <c r="B43" s="416"/>
      <c r="C43" s="950" t="s">
        <v>213</v>
      </c>
      <c r="D43" s="951"/>
      <c r="E43" s="418">
        <v>0.3</v>
      </c>
      <c r="F43" s="422"/>
      <c r="G43" s="423"/>
      <c r="H43" s="545">
        <f>D16</f>
        <v>0</v>
      </c>
      <c r="I43" s="429">
        <f>IF($E$16="",$F$16,$E$16)</f>
        <v>0</v>
      </c>
      <c r="J43" s="540">
        <f>G16</f>
        <v>0</v>
      </c>
      <c r="K43" s="545">
        <f>-$E$43*H43</f>
        <v>0</v>
      </c>
      <c r="L43" s="429">
        <f>-$E$43*I43</f>
        <v>0</v>
      </c>
      <c r="M43" s="540">
        <f>-$E$43*J43</f>
        <v>0</v>
      </c>
      <c r="N43" s="673"/>
    </row>
    <row r="44" spans="1:14" ht="36.75" customHeight="1" x14ac:dyDescent="0.25">
      <c r="A44" s="672"/>
      <c r="B44" s="550" t="s">
        <v>51</v>
      </c>
      <c r="C44" s="936" t="s">
        <v>222</v>
      </c>
      <c r="D44" s="934"/>
      <c r="E44" s="231">
        <v>0.05</v>
      </c>
      <c r="F44" s="419" t="s">
        <v>17</v>
      </c>
      <c r="G44" s="233">
        <f t="shared" ref="G44:G50" si="4">IF(F44="nei",0,E44)</f>
        <v>0</v>
      </c>
      <c r="H44" s="941"/>
      <c r="I44" s="942"/>
      <c r="J44" s="943"/>
      <c r="K44" s="546">
        <f t="shared" ref="K44:K50" si="5">G44*$H$43</f>
        <v>0</v>
      </c>
      <c r="L44" s="504">
        <f>G44*$I$43</f>
        <v>0</v>
      </c>
      <c r="M44" s="194">
        <f t="shared" ref="M44:M50" si="6">G44*$J$43</f>
        <v>0</v>
      </c>
      <c r="N44" s="673"/>
    </row>
    <row r="45" spans="1:14" ht="36" customHeight="1" x14ac:dyDescent="0.25">
      <c r="A45" s="672"/>
      <c r="B45" s="550" t="s">
        <v>52</v>
      </c>
      <c r="C45" s="936" t="s">
        <v>224</v>
      </c>
      <c r="D45" s="934"/>
      <c r="E45" s="231">
        <v>0.1</v>
      </c>
      <c r="F45" s="419" t="s">
        <v>17</v>
      </c>
      <c r="G45" s="233">
        <f t="shared" si="4"/>
        <v>0</v>
      </c>
      <c r="H45" s="944"/>
      <c r="I45" s="945"/>
      <c r="J45" s="946"/>
      <c r="K45" s="546">
        <f t="shared" si="5"/>
        <v>0</v>
      </c>
      <c r="L45" s="504">
        <f t="shared" ref="L45:L50" si="7">G45*$I$43</f>
        <v>0</v>
      </c>
      <c r="M45" s="194">
        <f t="shared" si="6"/>
        <v>0</v>
      </c>
      <c r="N45" s="673"/>
    </row>
    <row r="46" spans="1:14" s="55" customFormat="1" ht="32.25" customHeight="1" x14ac:dyDescent="0.25">
      <c r="A46" s="672"/>
      <c r="B46" s="550" t="s">
        <v>53</v>
      </c>
      <c r="C46" s="936" t="s">
        <v>23</v>
      </c>
      <c r="D46" s="934"/>
      <c r="E46" s="231">
        <v>0.1</v>
      </c>
      <c r="F46" s="419" t="s">
        <v>17</v>
      </c>
      <c r="G46" s="233">
        <f t="shared" si="4"/>
        <v>0</v>
      </c>
      <c r="H46" s="944"/>
      <c r="I46" s="945"/>
      <c r="J46" s="946"/>
      <c r="K46" s="546">
        <f t="shared" si="5"/>
        <v>0</v>
      </c>
      <c r="L46" s="504">
        <f>G46*$I$43</f>
        <v>0</v>
      </c>
      <c r="M46" s="194">
        <f t="shared" si="6"/>
        <v>0</v>
      </c>
      <c r="N46" s="673"/>
    </row>
    <row r="47" spans="1:14" ht="39" customHeight="1" x14ac:dyDescent="0.25">
      <c r="A47" s="672"/>
      <c r="B47" s="550" t="s">
        <v>54</v>
      </c>
      <c r="C47" s="936" t="s">
        <v>24</v>
      </c>
      <c r="D47" s="934"/>
      <c r="E47" s="231">
        <v>0.1</v>
      </c>
      <c r="F47" s="419" t="s">
        <v>17</v>
      </c>
      <c r="G47" s="233">
        <f t="shared" si="4"/>
        <v>0</v>
      </c>
      <c r="H47" s="944"/>
      <c r="I47" s="945"/>
      <c r="J47" s="946"/>
      <c r="K47" s="546">
        <f t="shared" si="5"/>
        <v>0</v>
      </c>
      <c r="L47" s="504">
        <f t="shared" si="7"/>
        <v>0</v>
      </c>
      <c r="M47" s="194">
        <f t="shared" si="6"/>
        <v>0</v>
      </c>
      <c r="N47" s="673"/>
    </row>
    <row r="48" spans="1:14" ht="30" customHeight="1" x14ac:dyDescent="0.25">
      <c r="A48" s="672"/>
      <c r="B48" s="550" t="s">
        <v>55</v>
      </c>
      <c r="C48" s="936" t="s">
        <v>6</v>
      </c>
      <c r="D48" s="934"/>
      <c r="E48" s="231">
        <v>0.05</v>
      </c>
      <c r="F48" s="419" t="s">
        <v>17</v>
      </c>
      <c r="G48" s="233">
        <f t="shared" si="4"/>
        <v>0</v>
      </c>
      <c r="H48" s="944"/>
      <c r="I48" s="945"/>
      <c r="J48" s="946"/>
      <c r="K48" s="546">
        <f t="shared" si="5"/>
        <v>0</v>
      </c>
      <c r="L48" s="504">
        <f>G48*$I$43</f>
        <v>0</v>
      </c>
      <c r="M48" s="194">
        <f t="shared" si="6"/>
        <v>0</v>
      </c>
      <c r="N48" s="673"/>
    </row>
    <row r="49" spans="1:18" ht="36" customHeight="1" x14ac:dyDescent="0.25">
      <c r="A49" s="672"/>
      <c r="B49" s="550" t="s">
        <v>56</v>
      </c>
      <c r="C49" s="936" t="s">
        <v>223</v>
      </c>
      <c r="D49" s="934"/>
      <c r="E49" s="231">
        <v>0.05</v>
      </c>
      <c r="F49" s="419" t="s">
        <v>17</v>
      </c>
      <c r="G49" s="233">
        <f t="shared" si="4"/>
        <v>0</v>
      </c>
      <c r="H49" s="944"/>
      <c r="I49" s="945"/>
      <c r="J49" s="946"/>
      <c r="K49" s="546">
        <f t="shared" si="5"/>
        <v>0</v>
      </c>
      <c r="L49" s="504">
        <f t="shared" si="7"/>
        <v>0</v>
      </c>
      <c r="M49" s="194">
        <f t="shared" si="6"/>
        <v>0</v>
      </c>
      <c r="N49" s="673"/>
    </row>
    <row r="50" spans="1:18" ht="37.5" customHeight="1" x14ac:dyDescent="0.25">
      <c r="A50" s="672"/>
      <c r="B50" s="181" t="s">
        <v>57</v>
      </c>
      <c r="C50" s="936" t="s">
        <v>221</v>
      </c>
      <c r="D50" s="934"/>
      <c r="E50" s="234">
        <v>0.05</v>
      </c>
      <c r="F50" s="419" t="s">
        <v>17</v>
      </c>
      <c r="G50" s="235">
        <f t="shared" si="4"/>
        <v>0</v>
      </c>
      <c r="H50" s="947"/>
      <c r="I50" s="948"/>
      <c r="J50" s="949"/>
      <c r="K50" s="546">
        <f t="shared" si="5"/>
        <v>0</v>
      </c>
      <c r="L50" s="504">
        <f t="shared" si="7"/>
        <v>0</v>
      </c>
      <c r="M50" s="194">
        <f t="shared" si="6"/>
        <v>0</v>
      </c>
      <c r="N50" s="673"/>
    </row>
    <row r="51" spans="1:18" ht="30" customHeight="1" thickBot="1" x14ac:dyDescent="0.3">
      <c r="A51" s="672"/>
      <c r="B51" s="551"/>
      <c r="C51" s="972" t="s">
        <v>5</v>
      </c>
      <c r="D51" s="973"/>
      <c r="E51" s="973"/>
      <c r="F51" s="258"/>
      <c r="G51" s="258"/>
      <c r="H51" s="258"/>
      <c r="I51" s="258"/>
      <c r="J51" s="259"/>
      <c r="K51" s="543">
        <f>IF(SUM($G$44:$G$50)=0%,$K$43,IF(SUM($G$44:$G$50)=5%,$K$43+$H$43*5%,IF(SUM($G$44:$G$50)=10%,$K$43+$H$43*10%,IF(SUM($G$44:$G$50)=15%,$K$43+$H$43*15%,IF(SUM($G$44:$G$50)=20%,$K$43+$H$43*20%,IF(SUM($G$44:$G$50)=25%,$K$43+$H$43*25%,IF(SUM($G$44:$G$50)&gt;30%,0,$K$43+$H$43*30%)))))))</f>
        <v>0</v>
      </c>
      <c r="L51" s="505">
        <f>IF(SUM($G$44:$G$50)=0%,$L$43,IF(SUM($G$44:$G$50)=5%,$L$43+$I$43*5%,IF(SUM($G$44:$G$50)=10%,$L$43+$I$43*10%,IF(SUM($G$44:$G$50)=15%,$L$43+$I$43*15%,IF(SUM($G$44:$G$50)=20%,$L$43+$I$43*20%,IF(SUM($G$44:$G$50)=25%,$L$43+$I$43*25%,IF(SUM($G$44:$G$50)&gt;30%,0,$L$43+$I$43*30%)))))))</f>
        <v>0</v>
      </c>
      <c r="M51" s="544">
        <f>IF(SUM($G$44:$G$50)=0%,$M$43,IF(SUM($G$44:$G$50)=5%,$M$43+$J$43*5%,IF(SUM($G$44:$G$50)=10%,$M$43+$J$43*10%,IF(SUM($G$44:$G$50)=15%,$M$43+$J$43*15%,IF(SUM($G$44:$G$50)=20%,$M$43+$J$43*20%,IF(SUM($G$44:$G$50)=25%,$M$43+$J$43*25%,IF(SUM($G$44:$G$50)&gt;30%,0,$M$43+$J$43*30%)))))))</f>
        <v>0</v>
      </c>
      <c r="N51" s="673"/>
    </row>
    <row r="52" spans="1:18" ht="30.75" customHeight="1" thickBot="1" x14ac:dyDescent="0.3">
      <c r="A52" s="672"/>
      <c r="B52" s="212"/>
      <c r="C52" s="311"/>
      <c r="D52" s="244"/>
      <c r="E52" s="212"/>
      <c r="F52" s="230"/>
      <c r="G52" s="212"/>
      <c r="H52" s="212"/>
      <c r="I52" s="212"/>
      <c r="J52" s="212"/>
      <c r="K52" s="301"/>
      <c r="L52" s="301"/>
      <c r="M52" s="301"/>
      <c r="N52" s="673"/>
    </row>
    <row r="53" spans="1:18" ht="32.25" customHeight="1" x14ac:dyDescent="0.25">
      <c r="A53" s="672"/>
      <c r="B53" s="676"/>
      <c r="C53" s="932"/>
      <c r="D53" s="932"/>
      <c r="E53" s="212"/>
      <c r="F53" s="910" t="s">
        <v>325</v>
      </c>
      <c r="G53" s="911"/>
      <c r="H53" s="911"/>
      <c r="I53" s="911"/>
      <c r="J53" s="957"/>
      <c r="K53" s="245">
        <f>D16+K24+K31+K40+K51</f>
        <v>0</v>
      </c>
      <c r="L53" s="245">
        <f>IF(E16="",F16+L24+L31+L40+L51,E16+L24+L31+L40+L51)</f>
        <v>0</v>
      </c>
      <c r="M53" s="246">
        <f>G16+M24+M31+M40+M51</f>
        <v>0</v>
      </c>
      <c r="N53" s="673"/>
    </row>
    <row r="54" spans="1:18" ht="60.75" customHeight="1" x14ac:dyDescent="0.25">
      <c r="A54" s="672"/>
      <c r="B54" s="676"/>
      <c r="C54" s="932"/>
      <c r="D54" s="932"/>
      <c r="E54" s="212"/>
      <c r="F54" s="969" t="s">
        <v>326</v>
      </c>
      <c r="G54" s="970"/>
      <c r="H54" s="970"/>
      <c r="I54" s="970"/>
      <c r="J54" s="971"/>
      <c r="K54" s="506"/>
      <c r="L54" s="506"/>
      <c r="M54" s="547"/>
      <c r="N54" s="673"/>
      <c r="Q54" s="582"/>
    </row>
    <row r="55" spans="1:18" ht="39" customHeight="1" x14ac:dyDescent="0.25">
      <c r="A55" s="672"/>
      <c r="B55" s="212"/>
      <c r="C55" s="310"/>
      <c r="D55" s="212"/>
      <c r="E55" s="212"/>
      <c r="F55" s="958" t="s">
        <v>228</v>
      </c>
      <c r="G55" s="959"/>
      <c r="H55" s="959"/>
      <c r="I55" s="959"/>
      <c r="J55" s="960"/>
      <c r="K55" s="961"/>
      <c r="L55" s="962"/>
      <c r="M55" s="963"/>
      <c r="N55" s="673"/>
    </row>
    <row r="56" spans="1:18" ht="40.5" customHeight="1" x14ac:dyDescent="0.25">
      <c r="A56" s="672"/>
      <c r="B56" s="212"/>
      <c r="C56" s="212"/>
      <c r="D56" s="212"/>
      <c r="E56" s="212"/>
      <c r="F56" s="958" t="s">
        <v>230</v>
      </c>
      <c r="G56" s="959"/>
      <c r="H56" s="959"/>
      <c r="I56" s="959"/>
      <c r="J56" s="960"/>
      <c r="K56" s="961"/>
      <c r="L56" s="962"/>
      <c r="M56" s="963"/>
      <c r="N56" s="673"/>
    </row>
    <row r="57" spans="1:18" ht="42" customHeight="1" thickBot="1" x14ac:dyDescent="0.3">
      <c r="A57" s="672"/>
      <c r="B57" s="212"/>
      <c r="C57" s="212"/>
      <c r="D57" s="212"/>
      <c r="E57" s="212"/>
      <c r="F57" s="967" t="s">
        <v>229</v>
      </c>
      <c r="G57" s="968"/>
      <c r="H57" s="968"/>
      <c r="I57" s="968"/>
      <c r="J57" s="968"/>
      <c r="K57" s="954" t="e">
        <f>IF((1-(-0.25*(K56/K55)+0.25))&lt;0.75,0.75,IF((1-(-0.25*(K56/K55)+0.25))&gt;1,1,((1-(-0.25*(K56/K55)+0.25)))))</f>
        <v>#DIV/0!</v>
      </c>
      <c r="L57" s="955"/>
      <c r="M57" s="956"/>
      <c r="N57" s="677"/>
      <c r="R57" s="507"/>
    </row>
    <row r="58" spans="1:18" ht="43.5" customHeight="1" thickBot="1" x14ac:dyDescent="0.3">
      <c r="A58" s="672"/>
      <c r="B58" s="212"/>
      <c r="C58" s="56"/>
      <c r="D58" s="56"/>
      <c r="E58" s="212"/>
      <c r="F58" s="964" t="s">
        <v>404</v>
      </c>
      <c r="G58" s="965"/>
      <c r="H58" s="965"/>
      <c r="I58" s="965"/>
      <c r="J58" s="966"/>
      <c r="K58" s="427">
        <f>IF($K$56=0,$K$53,$K$53*$K$57)</f>
        <v>0</v>
      </c>
      <c r="L58" s="427">
        <f>IF($K$56=0,$L$53,$L$53*$K$57)</f>
        <v>0</v>
      </c>
      <c r="M58" s="428">
        <f>IF($K$56=0,$M$53,$M$53*$K$57)</f>
        <v>0</v>
      </c>
      <c r="N58" s="673"/>
    </row>
    <row r="59" spans="1:18" ht="49.5" customHeight="1" x14ac:dyDescent="0.25">
      <c r="A59" s="672"/>
      <c r="B59" s="323"/>
      <c r="C59" s="952" t="s">
        <v>424</v>
      </c>
      <c r="D59" s="952"/>
      <c r="E59" s="323"/>
      <c r="F59" s="323"/>
      <c r="G59" s="323"/>
      <c r="H59" s="323"/>
      <c r="I59" s="323"/>
      <c r="J59" s="323"/>
      <c r="K59" s="678"/>
      <c r="L59" s="678"/>
      <c r="M59" s="678"/>
      <c r="N59" s="673"/>
    </row>
    <row r="60" spans="1:18" ht="118.5" customHeight="1" x14ac:dyDescent="0.2">
      <c r="A60" s="672"/>
      <c r="B60" s="323"/>
      <c r="C60" s="323"/>
      <c r="D60" s="323"/>
      <c r="E60" s="323"/>
      <c r="F60" s="953" t="s">
        <v>327</v>
      </c>
      <c r="G60" s="953"/>
      <c r="H60" s="953"/>
      <c r="I60" s="953"/>
      <c r="J60" s="953"/>
      <c r="K60" s="953"/>
      <c r="L60" s="953"/>
      <c r="M60" s="953"/>
      <c r="N60" s="673"/>
    </row>
    <row r="61" spans="1:18" x14ac:dyDescent="0.25">
      <c r="A61" s="672"/>
      <c r="B61" s="75"/>
      <c r="C61" s="75"/>
      <c r="D61" s="75"/>
      <c r="E61" s="75"/>
      <c r="F61" s="75"/>
      <c r="G61" s="75"/>
      <c r="H61" s="75"/>
      <c r="I61" s="75"/>
      <c r="J61" s="75"/>
      <c r="K61" s="536"/>
      <c r="L61" s="536"/>
      <c r="M61" s="536"/>
      <c r="N61" s="673"/>
    </row>
    <row r="62" spans="1:18" x14ac:dyDescent="0.25">
      <c r="A62" s="574"/>
      <c r="B62" s="322"/>
      <c r="C62" s="322"/>
      <c r="D62" s="75"/>
      <c r="E62" s="75"/>
      <c r="F62" s="75"/>
      <c r="G62" s="75"/>
      <c r="H62" s="75"/>
      <c r="I62" s="75"/>
      <c r="J62" s="75"/>
      <c r="K62" s="536"/>
      <c r="L62" s="536"/>
      <c r="M62" s="536"/>
      <c r="N62" s="673"/>
    </row>
    <row r="63" spans="1:18" x14ac:dyDescent="0.25">
      <c r="A63" s="633"/>
      <c r="B63" s="634"/>
      <c r="C63" s="634"/>
      <c r="D63" s="679"/>
      <c r="E63" s="679"/>
      <c r="F63" s="679"/>
      <c r="G63" s="679"/>
      <c r="H63" s="679"/>
      <c r="I63" s="679"/>
      <c r="J63" s="679"/>
      <c r="K63" s="680"/>
      <c r="L63" s="680"/>
      <c r="M63" s="680"/>
      <c r="N63" s="681"/>
    </row>
  </sheetData>
  <sheetProtection sheet="1" selectLockedCells="1"/>
  <protectedRanges>
    <protectedRange sqref="K55:M56" name="Range6"/>
    <protectedRange sqref="F44:F50" name="Range5"/>
    <protectedRange sqref="F35:F39" name="Range4"/>
    <protectedRange sqref="F28:F30" name="Range3"/>
    <protectedRange sqref="F22:F23" name="Range2"/>
    <protectedRange sqref="B16" name="Range1"/>
  </protectedRanges>
  <mergeCells count="55">
    <mergeCell ref="C59:D59"/>
    <mergeCell ref="C23:D23"/>
    <mergeCell ref="C47:D47"/>
    <mergeCell ref="F60:M60"/>
    <mergeCell ref="K57:M57"/>
    <mergeCell ref="F53:J53"/>
    <mergeCell ref="F55:J55"/>
    <mergeCell ref="F56:J56"/>
    <mergeCell ref="K55:M55"/>
    <mergeCell ref="K56:M56"/>
    <mergeCell ref="F58:J58"/>
    <mergeCell ref="F57:J57"/>
    <mergeCell ref="F54:J54"/>
    <mergeCell ref="C54:D54"/>
    <mergeCell ref="C51:E51"/>
    <mergeCell ref="H44:J50"/>
    <mergeCell ref="H28:J30"/>
    <mergeCell ref="C36:D36"/>
    <mergeCell ref="C48:D48"/>
    <mergeCell ref="C43:D43"/>
    <mergeCell ref="C44:D44"/>
    <mergeCell ref="C45:D45"/>
    <mergeCell ref="C46:D46"/>
    <mergeCell ref="H35:J39"/>
    <mergeCell ref="C34:D34"/>
    <mergeCell ref="C35:D35"/>
    <mergeCell ref="B18:M18"/>
    <mergeCell ref="B6:G6"/>
    <mergeCell ref="C53:D53"/>
    <mergeCell ref="C22:D22"/>
    <mergeCell ref="C26:G26"/>
    <mergeCell ref="C37:D37"/>
    <mergeCell ref="C38:D38"/>
    <mergeCell ref="C39:D39"/>
    <mergeCell ref="C28:D28"/>
    <mergeCell ref="C29:D29"/>
    <mergeCell ref="C30:D30"/>
    <mergeCell ref="C20:E20"/>
    <mergeCell ref="A19:N19"/>
    <mergeCell ref="H22:J23"/>
    <mergeCell ref="C49:D49"/>
    <mergeCell ref="C50:D50"/>
    <mergeCell ref="B2:C2"/>
    <mergeCell ref="B3:C3"/>
    <mergeCell ref="B7:C7"/>
    <mergeCell ref="B8:C8"/>
    <mergeCell ref="B9:C9"/>
    <mergeCell ref="B5:G5"/>
    <mergeCell ref="D3:G3"/>
    <mergeCell ref="D2:G2"/>
    <mergeCell ref="B11:C11"/>
    <mergeCell ref="B12:C12"/>
    <mergeCell ref="B13:C13"/>
    <mergeCell ref="B15:C15"/>
    <mergeCell ref="B16:C16"/>
  </mergeCells>
  <phoneticPr fontId="4" type="noConversion"/>
  <conditionalFormatting sqref="G28:G30 G44:G50 G35:G39">
    <cfRule type="cellIs" dxfId="9" priority="4" stopIfTrue="1" operator="greaterThan">
      <formula>0</formula>
    </cfRule>
  </conditionalFormatting>
  <conditionalFormatting sqref="G22:G23">
    <cfRule type="cellIs" dxfId="8" priority="1" stopIfTrue="1" operator="greaterThan">
      <formula>0</formula>
    </cfRule>
  </conditionalFormatting>
  <pageMargins left="0.78740157480314965" right="0.78740157480314965" top="1.1811023622047245" bottom="0.98425196850393704" header="0.51181102362204722" footer="0.51181102362204722"/>
  <pageSetup paperSize="8" scale="77" orientation="portrait" r:id="rId1"/>
  <headerFooter>
    <oddHeader>&amp;L&amp;"Times New Roman,Halvfet"&amp;16Microbial barrier analysis (MBA)
Opertional tool&amp;C&amp;"Times New Roman,Halvfet"&amp;16&amp;A&amp;R&amp;"Times New Roman,Halvfet"&amp;16Page &amp;P of &amp;N
&amp;D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key!$A$2:$A$3</xm:f>
          </x14:formula1>
          <xm:sqref>F22:F23 F28:F30 F44:F50 F35:F39</xm:sqref>
        </x14:dataValidation>
        <x14:dataValidation type="list" allowBlank="1" showInputMessage="1" showErrorMessage="1">
          <x14:formula1>
            <xm:f>key!$A$6:$A$16</xm:f>
          </x14:formula1>
          <xm:sqref>C17</xm:sqref>
        </x14:dataValidation>
        <x14:dataValidation type="list" allowBlank="1" showInputMessage="1" showErrorMessage="1">
          <x14:formula1>
            <xm:f>key!$A$7:$A$16</xm:f>
          </x14:formula1>
          <xm:sqref>B16:C16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P93"/>
  <sheetViews>
    <sheetView topLeftCell="A73" zoomScaleNormal="100" workbookViewId="0">
      <selection activeCell="E49" sqref="E49:G49"/>
    </sheetView>
  </sheetViews>
  <sheetFormatPr baseColWidth="10" defaultColWidth="10.7109375" defaultRowHeight="15" x14ac:dyDescent="0.25"/>
  <cols>
    <col min="1" max="1" width="2.5703125" style="1" customWidth="1"/>
    <col min="2" max="2" width="5.140625" style="1" customWidth="1"/>
    <col min="3" max="3" width="26.42578125" style="1" customWidth="1"/>
    <col min="4" max="4" width="15.5703125" style="1" customWidth="1"/>
    <col min="5" max="5" width="12.28515625" style="1" customWidth="1"/>
    <col min="6" max="6" width="12.7109375" style="1" customWidth="1"/>
    <col min="7" max="7" width="11.7109375" style="1" customWidth="1"/>
    <col min="8" max="8" width="14.42578125" style="1" customWidth="1"/>
    <col min="9" max="9" width="13" style="1" customWidth="1"/>
    <col min="10" max="10" width="12.28515625" style="1" customWidth="1"/>
    <col min="11" max="11" width="11.7109375" style="1" customWidth="1"/>
    <col min="12" max="12" width="11.42578125" style="1" customWidth="1"/>
    <col min="13" max="16384" width="10.7109375" style="1"/>
  </cols>
  <sheetData>
    <row r="1" spans="1:16" ht="15.75" thickBot="1" x14ac:dyDescent="0.3">
      <c r="A1" s="619"/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620"/>
      <c r="P1" s="638"/>
    </row>
    <row r="2" spans="1:16" ht="30.75" customHeight="1" x14ac:dyDescent="0.25">
      <c r="A2" s="574"/>
      <c r="B2" s="322"/>
      <c r="C2" s="798" t="str">
        <f>Innsjø!B2</f>
        <v>Vannverkseier:</v>
      </c>
      <c r="D2" s="800"/>
      <c r="E2" s="1008" t="str">
        <f>Innsjø!D2</f>
        <v>BB</v>
      </c>
      <c r="F2" s="1008"/>
      <c r="G2" s="1008"/>
      <c r="H2" s="1008"/>
      <c r="I2" s="1009"/>
      <c r="J2" s="323"/>
      <c r="K2" s="323"/>
      <c r="L2" s="323"/>
      <c r="M2" s="323"/>
      <c r="N2" s="323"/>
      <c r="O2" s="323"/>
      <c r="P2" s="624"/>
    </row>
    <row r="3" spans="1:16" ht="33.75" customHeight="1" thickBot="1" x14ac:dyDescent="0.3">
      <c r="A3" s="574"/>
      <c r="B3" s="322"/>
      <c r="C3" s="1017" t="str">
        <f>Innsjø!B3</f>
        <v>Vannverkets navn:</v>
      </c>
      <c r="D3" s="1018"/>
      <c r="E3" s="1010" t="str">
        <f>Innsjø!D3</f>
        <v>VV</v>
      </c>
      <c r="F3" s="1010"/>
      <c r="G3" s="1010"/>
      <c r="H3" s="1010"/>
      <c r="I3" s="1011"/>
      <c r="J3" s="323"/>
      <c r="K3" s="323"/>
      <c r="L3" s="323"/>
      <c r="M3" s="323"/>
      <c r="N3" s="323"/>
      <c r="O3" s="323"/>
      <c r="P3" s="624"/>
    </row>
    <row r="4" spans="1:16" ht="21" customHeight="1" thickBot="1" x14ac:dyDescent="0.3">
      <c r="A4" s="574"/>
      <c r="B4" s="322"/>
      <c r="C4" s="322"/>
      <c r="D4" s="322"/>
      <c r="E4" s="322"/>
      <c r="F4" s="322"/>
      <c r="G4" s="322"/>
      <c r="H4" s="322"/>
      <c r="I4" s="322"/>
      <c r="J4" s="322"/>
      <c r="K4" s="323"/>
      <c r="L4" s="323"/>
      <c r="M4" s="323"/>
      <c r="N4" s="323"/>
      <c r="O4" s="323"/>
      <c r="P4" s="624"/>
    </row>
    <row r="5" spans="1:16" ht="33.75" customHeight="1" thickBot="1" x14ac:dyDescent="0.3">
      <c r="A5" s="574"/>
      <c r="B5" s="322"/>
      <c r="C5" s="1005" t="s">
        <v>346</v>
      </c>
      <c r="D5" s="1006"/>
      <c r="E5" s="1006"/>
      <c r="F5" s="1006"/>
      <c r="G5" s="1006"/>
      <c r="H5" s="1006"/>
      <c r="I5" s="1007"/>
      <c r="J5" s="323"/>
      <c r="K5" s="323"/>
      <c r="L5" s="323"/>
      <c r="M5" s="323"/>
      <c r="N5" s="323"/>
      <c r="O5" s="323"/>
      <c r="P5" s="624"/>
    </row>
    <row r="6" spans="1:16" ht="21" customHeight="1" thickBot="1" x14ac:dyDescent="0.35">
      <c r="A6" s="574"/>
      <c r="B6" s="322"/>
      <c r="C6" s="1015"/>
      <c r="D6" s="1015"/>
      <c r="E6" s="320"/>
      <c r="F6" s="320"/>
      <c r="G6" s="320"/>
      <c r="H6" s="320"/>
      <c r="I6" s="323"/>
      <c r="J6" s="323"/>
      <c r="K6" s="323"/>
      <c r="L6" s="323"/>
      <c r="M6" s="323"/>
      <c r="N6" s="323"/>
      <c r="O6" s="323"/>
      <c r="P6" s="624"/>
    </row>
    <row r="7" spans="1:16" ht="26.25" customHeight="1" x14ac:dyDescent="0.25">
      <c r="A7" s="574"/>
      <c r="B7" s="322"/>
      <c r="C7" s="1019" t="s">
        <v>347</v>
      </c>
      <c r="D7" s="1020"/>
      <c r="E7" s="1021"/>
      <c r="F7" s="559" t="s">
        <v>97</v>
      </c>
      <c r="G7" s="559" t="s">
        <v>98</v>
      </c>
      <c r="H7" s="559" t="s">
        <v>163</v>
      </c>
      <c r="I7" s="560" t="s">
        <v>171</v>
      </c>
      <c r="J7" s="271"/>
      <c r="K7" s="271"/>
      <c r="L7" s="212"/>
      <c r="M7" s="212"/>
      <c r="N7" s="212"/>
      <c r="O7" s="212"/>
      <c r="P7" s="624"/>
    </row>
    <row r="8" spans="1:16" ht="37.5" customHeight="1" x14ac:dyDescent="0.25">
      <c r="A8" s="574"/>
      <c r="B8" s="322"/>
      <c r="C8" s="1022"/>
      <c r="D8" s="1023"/>
      <c r="E8" s="1024"/>
      <c r="F8" s="236" t="s">
        <v>169</v>
      </c>
      <c r="G8" s="236" t="s">
        <v>169</v>
      </c>
      <c r="H8" s="236" t="s">
        <v>170</v>
      </c>
      <c r="I8" s="548" t="s">
        <v>170</v>
      </c>
      <c r="J8" s="254"/>
      <c r="K8" s="254"/>
      <c r="L8" s="212"/>
      <c r="M8" s="212"/>
      <c r="N8" s="212"/>
      <c r="O8" s="212"/>
      <c r="P8" s="624"/>
    </row>
    <row r="9" spans="1:16" ht="30.75" customHeight="1" thickBot="1" x14ac:dyDescent="0.3">
      <c r="A9" s="574"/>
      <c r="B9" s="322"/>
      <c r="C9" s="1061" t="s">
        <v>349</v>
      </c>
      <c r="D9" s="1062"/>
      <c r="E9" s="1063"/>
      <c r="F9" s="149">
        <f>IF($C$9="","",IF($C$9="Velg kategori","",VLOOKUP($C$9,key!$A$22:$B$28,2,FALSE)))</f>
        <v>0</v>
      </c>
      <c r="G9" s="149">
        <f>IF($C$9="","",IF($C$9="Velg kategori","",VLOOKUP($C$9,key!$A$22:$D$28,4,FALSE)))</f>
        <v>0</v>
      </c>
      <c r="H9" s="149">
        <f>IF($C$9="","",IF($C$9="Velg kategori","",VLOOKUP($C$9,key!$E$22:$F$28,2,FALSE)))</f>
        <v>0</v>
      </c>
      <c r="I9" s="150">
        <f>IF($C$9="","",IF($C$9="Velg kategori","",VLOOKUP($C$9,key!$G$22:$H$28,2,FALSE)))</f>
        <v>0</v>
      </c>
      <c r="J9" s="254"/>
      <c r="K9" s="254"/>
      <c r="L9" s="212"/>
      <c r="M9" s="212"/>
      <c r="N9" s="212"/>
      <c r="O9" s="212"/>
      <c r="P9" s="624"/>
    </row>
    <row r="10" spans="1:16" ht="19.5" customHeight="1" thickBot="1" x14ac:dyDescent="0.3">
      <c r="A10" s="574"/>
      <c r="B10" s="322"/>
      <c r="C10" s="1016"/>
      <c r="D10" s="1016"/>
      <c r="E10" s="320"/>
      <c r="F10" s="320"/>
      <c r="G10" s="320"/>
      <c r="H10" s="320"/>
      <c r="I10" s="323"/>
      <c r="J10" s="323"/>
      <c r="K10" s="323"/>
      <c r="L10" s="323"/>
      <c r="M10" s="323"/>
      <c r="N10" s="323"/>
      <c r="O10" s="323"/>
      <c r="P10" s="624"/>
    </row>
    <row r="11" spans="1:16" ht="61.5" customHeight="1" x14ac:dyDescent="0.25">
      <c r="A11" s="574"/>
      <c r="B11" s="322"/>
      <c r="C11" s="1012" t="s">
        <v>189</v>
      </c>
      <c r="D11" s="1013"/>
      <c r="E11" s="1013"/>
      <c r="F11" s="1013"/>
      <c r="G11" s="1013"/>
      <c r="H11" s="1013"/>
      <c r="I11" s="1014"/>
      <c r="J11" s="212"/>
      <c r="K11" s="212"/>
      <c r="L11" s="212"/>
      <c r="M11" s="212"/>
      <c r="N11" s="212"/>
      <c r="O11" s="212"/>
      <c r="P11" s="624"/>
    </row>
    <row r="12" spans="1:16" ht="30.75" customHeight="1" x14ac:dyDescent="0.25">
      <c r="A12" s="574"/>
      <c r="B12" s="322"/>
      <c r="C12" s="1047" t="s">
        <v>330</v>
      </c>
      <c r="D12" s="1048"/>
      <c r="E12" s="1048"/>
      <c r="F12" s="1048"/>
      <c r="G12" s="1048"/>
      <c r="H12" s="725"/>
      <c r="I12" s="555" t="s">
        <v>143</v>
      </c>
      <c r="J12" s="212"/>
      <c r="K12" s="212"/>
      <c r="L12" s="212"/>
      <c r="M12" s="212"/>
      <c r="N12" s="212"/>
      <c r="O12" s="212"/>
      <c r="P12" s="624"/>
    </row>
    <row r="13" spans="1:16" ht="31.5" customHeight="1" x14ac:dyDescent="0.25">
      <c r="A13" s="574"/>
      <c r="B13" s="322"/>
      <c r="C13" s="1047" t="s">
        <v>329</v>
      </c>
      <c r="D13" s="1048"/>
      <c r="E13" s="1048"/>
      <c r="F13" s="1048"/>
      <c r="G13" s="1048"/>
      <c r="H13" s="725"/>
      <c r="I13" s="555" t="s">
        <v>231</v>
      </c>
      <c r="J13" s="212"/>
      <c r="K13" s="212"/>
      <c r="L13" s="212"/>
      <c r="M13" s="212"/>
      <c r="N13" s="212"/>
      <c r="O13" s="212"/>
      <c r="P13" s="624"/>
    </row>
    <row r="14" spans="1:16" ht="29.25" customHeight="1" x14ac:dyDescent="0.25">
      <c r="A14" s="574"/>
      <c r="B14" s="322"/>
      <c r="C14" s="1064" t="s">
        <v>333</v>
      </c>
      <c r="D14" s="1065"/>
      <c r="E14" s="1065"/>
      <c r="F14" s="1065"/>
      <c r="G14" s="1065"/>
      <c r="H14" s="725"/>
      <c r="I14" s="553" t="s">
        <v>231</v>
      </c>
      <c r="J14" s="212"/>
      <c r="K14" s="212"/>
      <c r="L14" s="212"/>
      <c r="M14" s="212"/>
      <c r="N14" s="212"/>
      <c r="O14" s="212"/>
      <c r="P14" s="624"/>
    </row>
    <row r="15" spans="1:16" ht="29.25" customHeight="1" x14ac:dyDescent="0.25">
      <c r="A15" s="574"/>
      <c r="B15" s="322"/>
      <c r="C15" s="1064" t="s">
        <v>332</v>
      </c>
      <c r="D15" s="1065"/>
      <c r="E15" s="1065"/>
      <c r="F15" s="1065"/>
      <c r="G15" s="1065"/>
      <c r="H15" s="726"/>
      <c r="I15" s="553" t="s">
        <v>231</v>
      </c>
      <c r="J15" s="212"/>
      <c r="K15" s="212"/>
      <c r="L15" s="212"/>
      <c r="M15" s="212"/>
      <c r="N15" s="212"/>
      <c r="O15" s="212"/>
      <c r="P15" s="624"/>
    </row>
    <row r="16" spans="1:16" ht="33" customHeight="1" thickBot="1" x14ac:dyDescent="0.3">
      <c r="A16" s="574"/>
      <c r="B16" s="322"/>
      <c r="C16" s="1066" t="s">
        <v>381</v>
      </c>
      <c r="D16" s="1067"/>
      <c r="E16" s="1067"/>
      <c r="F16" s="1067"/>
      <c r="G16" s="1067"/>
      <c r="H16" s="431"/>
      <c r="I16" s="264" t="s">
        <v>237</v>
      </c>
      <c r="J16" s="212"/>
      <c r="K16" s="212"/>
      <c r="L16" s="212"/>
      <c r="M16" s="212"/>
      <c r="N16" s="212"/>
      <c r="O16" s="212"/>
      <c r="P16" s="624"/>
    </row>
    <row r="17" spans="1:16" x14ac:dyDescent="0.25">
      <c r="A17" s="574"/>
      <c r="B17" s="32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624"/>
    </row>
    <row r="18" spans="1:16" ht="43.5" customHeight="1" thickBot="1" x14ac:dyDescent="0.3">
      <c r="A18" s="574"/>
      <c r="B18" s="322"/>
      <c r="C18" s="984" t="s">
        <v>251</v>
      </c>
      <c r="D18" s="984"/>
      <c r="E18" s="984"/>
      <c r="F18" s="984"/>
      <c r="G18" s="984"/>
      <c r="H18" s="984"/>
      <c r="I18" s="984"/>
      <c r="J18" s="984"/>
      <c r="K18" s="984"/>
      <c r="L18" s="212"/>
      <c r="M18" s="212"/>
      <c r="N18" s="212"/>
      <c r="O18" s="212"/>
      <c r="P18" s="624"/>
    </row>
    <row r="19" spans="1:16" x14ac:dyDescent="0.25">
      <c r="A19" s="574"/>
      <c r="B19" s="322"/>
      <c r="C19" s="990" t="s">
        <v>262</v>
      </c>
      <c r="D19" s="999" t="s">
        <v>117</v>
      </c>
      <c r="E19" s="1000"/>
      <c r="F19" s="1000" t="s">
        <v>67</v>
      </c>
      <c r="G19" s="1003"/>
      <c r="H19" s="985" t="s">
        <v>119</v>
      </c>
      <c r="I19" s="985"/>
      <c r="J19" s="985" t="s">
        <v>119</v>
      </c>
      <c r="K19" s="986"/>
      <c r="L19" s="212"/>
      <c r="M19" s="212"/>
      <c r="N19" s="212"/>
      <c r="O19" s="212"/>
      <c r="P19" s="624"/>
    </row>
    <row r="20" spans="1:16" x14ac:dyDescent="0.25">
      <c r="A20" s="574"/>
      <c r="B20" s="322"/>
      <c r="C20" s="991"/>
      <c r="D20" s="1001"/>
      <c r="E20" s="1002"/>
      <c r="F20" s="1002"/>
      <c r="G20" s="1004"/>
      <c r="H20" s="989" t="s">
        <v>232</v>
      </c>
      <c r="I20" s="989"/>
      <c r="J20" s="989" t="s">
        <v>233</v>
      </c>
      <c r="K20" s="1056"/>
      <c r="L20" s="212"/>
      <c r="M20" s="212"/>
      <c r="N20" s="212"/>
      <c r="O20" s="212"/>
      <c r="P20" s="624"/>
    </row>
    <row r="21" spans="1:16" x14ac:dyDescent="0.25">
      <c r="A21" s="574"/>
      <c r="B21" s="322"/>
      <c r="C21" s="991"/>
      <c r="D21" s="998" t="s">
        <v>118</v>
      </c>
      <c r="E21" s="997"/>
      <c r="F21" s="997" t="s">
        <v>118</v>
      </c>
      <c r="G21" s="997"/>
      <c r="H21" s="997" t="s">
        <v>120</v>
      </c>
      <c r="I21" s="997"/>
      <c r="J21" s="997" t="s">
        <v>120</v>
      </c>
      <c r="K21" s="1057"/>
      <c r="L21" s="212"/>
      <c r="M21" s="212"/>
      <c r="N21" s="212"/>
      <c r="O21" s="212"/>
      <c r="P21" s="624"/>
    </row>
    <row r="22" spans="1:16" ht="15.75" thickBot="1" x14ac:dyDescent="0.3">
      <c r="A22" s="574"/>
      <c r="B22" s="322"/>
      <c r="C22" s="992"/>
      <c r="D22" s="265" t="s">
        <v>234</v>
      </c>
      <c r="E22" s="266" t="s">
        <v>235</v>
      </c>
      <c r="F22" s="266" t="s">
        <v>234</v>
      </c>
      <c r="G22" s="266" t="s">
        <v>236</v>
      </c>
      <c r="H22" s="266" t="s">
        <v>234</v>
      </c>
      <c r="I22" s="266" t="s">
        <v>236</v>
      </c>
      <c r="J22" s="266" t="s">
        <v>234</v>
      </c>
      <c r="K22" s="267" t="s">
        <v>236</v>
      </c>
      <c r="L22" s="212"/>
      <c r="M22" s="212"/>
      <c r="N22" s="212"/>
      <c r="O22" s="212"/>
      <c r="P22" s="624"/>
    </row>
    <row r="23" spans="1:16" x14ac:dyDescent="0.25">
      <c r="A23" s="574"/>
      <c r="B23" s="322"/>
      <c r="C23" s="562" t="s">
        <v>121</v>
      </c>
      <c r="D23" s="268">
        <v>1</v>
      </c>
      <c r="E23" s="250">
        <v>1.5</v>
      </c>
      <c r="F23" s="269">
        <v>4</v>
      </c>
      <c r="G23" s="269">
        <v>6</v>
      </c>
      <c r="H23" s="563">
        <v>75</v>
      </c>
      <c r="I23" s="563">
        <v>100</v>
      </c>
      <c r="J23" s="563" t="s">
        <v>124</v>
      </c>
      <c r="K23" s="568" t="s">
        <v>124</v>
      </c>
      <c r="L23" s="212"/>
      <c r="M23" s="212"/>
      <c r="N23" s="212"/>
      <c r="O23" s="212"/>
      <c r="P23" s="624"/>
    </row>
    <row r="24" spans="1:16" x14ac:dyDescent="0.25">
      <c r="A24" s="574"/>
      <c r="B24" s="322"/>
      <c r="C24" s="562" t="s">
        <v>122</v>
      </c>
      <c r="D24" s="268">
        <v>1.5</v>
      </c>
      <c r="E24" s="250">
        <v>2</v>
      </c>
      <c r="F24" s="269">
        <v>6</v>
      </c>
      <c r="G24" s="269">
        <v>9</v>
      </c>
      <c r="H24" s="563">
        <v>100</v>
      </c>
      <c r="I24" s="563">
        <v>150</v>
      </c>
      <c r="J24" s="563" t="s">
        <v>124</v>
      </c>
      <c r="K24" s="568" t="s">
        <v>124</v>
      </c>
      <c r="L24" s="212"/>
      <c r="M24" s="212"/>
      <c r="N24" s="212"/>
      <c r="O24" s="212"/>
      <c r="P24" s="624"/>
    </row>
    <row r="25" spans="1:16" ht="15.75" thickBot="1" x14ac:dyDescent="0.3">
      <c r="A25" s="574"/>
      <c r="B25" s="322"/>
      <c r="C25" s="270" t="s">
        <v>123</v>
      </c>
      <c r="D25" s="280">
        <v>2</v>
      </c>
      <c r="E25" s="281">
        <v>3</v>
      </c>
      <c r="F25" s="282">
        <v>8</v>
      </c>
      <c r="G25" s="282">
        <v>12</v>
      </c>
      <c r="H25" s="283">
        <v>175</v>
      </c>
      <c r="I25" s="283">
        <v>250</v>
      </c>
      <c r="J25" s="283" t="s">
        <v>124</v>
      </c>
      <c r="K25" s="284" t="s">
        <v>124</v>
      </c>
      <c r="L25" s="212"/>
      <c r="M25" s="212"/>
      <c r="N25" s="212"/>
      <c r="O25" s="212"/>
      <c r="P25" s="624"/>
    </row>
    <row r="26" spans="1:16" x14ac:dyDescent="0.25">
      <c r="A26" s="574"/>
      <c r="B26" s="322"/>
      <c r="C26" s="996" t="s">
        <v>126</v>
      </c>
      <c r="D26" s="996"/>
      <c r="E26" s="996"/>
      <c r="F26" s="996"/>
      <c r="G26" s="996"/>
      <c r="H26" s="996"/>
      <c r="I26" s="996"/>
      <c r="J26" s="996"/>
      <c r="K26" s="996"/>
      <c r="L26" s="212"/>
      <c r="M26" s="212"/>
      <c r="N26" s="212"/>
      <c r="O26" s="212"/>
      <c r="P26" s="624"/>
    </row>
    <row r="27" spans="1:16" ht="9" customHeight="1" x14ac:dyDescent="0.25">
      <c r="A27" s="574"/>
      <c r="B27" s="322"/>
      <c r="C27" s="254"/>
      <c r="D27" s="254"/>
      <c r="E27" s="254"/>
      <c r="F27" s="254"/>
      <c r="G27" s="254"/>
      <c r="H27" s="254"/>
      <c r="I27" s="254"/>
      <c r="J27" s="254"/>
      <c r="K27" s="254"/>
      <c r="L27" s="212"/>
      <c r="M27" s="212"/>
      <c r="N27" s="212"/>
      <c r="O27" s="212"/>
      <c r="P27" s="624"/>
    </row>
    <row r="28" spans="1:16" ht="25.5" customHeight="1" thickBot="1" x14ac:dyDescent="0.3">
      <c r="A28" s="574"/>
      <c r="B28" s="322"/>
      <c r="C28" s="229" t="s">
        <v>252</v>
      </c>
      <c r="D28" s="272"/>
      <c r="E28" s="272"/>
      <c r="F28" s="272"/>
      <c r="G28" s="272"/>
      <c r="H28" s="272"/>
      <c r="I28" s="272"/>
      <c r="J28" s="212"/>
      <c r="K28" s="212"/>
      <c r="L28" s="212"/>
      <c r="M28" s="212"/>
      <c r="N28" s="212"/>
      <c r="O28" s="212"/>
      <c r="P28" s="624"/>
    </row>
    <row r="29" spans="1:16" ht="18" customHeight="1" x14ac:dyDescent="0.25">
      <c r="A29" s="574"/>
      <c r="B29" s="322"/>
      <c r="C29" s="1058" t="s">
        <v>127</v>
      </c>
      <c r="D29" s="981" t="s">
        <v>331</v>
      </c>
      <c r="E29" s="987" t="s">
        <v>240</v>
      </c>
      <c r="F29" s="987"/>
      <c r="G29" s="1069" t="s">
        <v>128</v>
      </c>
      <c r="H29" s="1070"/>
      <c r="I29" s="1071"/>
      <c r="J29" s="1078" t="s">
        <v>353</v>
      </c>
      <c r="K29" s="1079"/>
      <c r="L29" s="1079"/>
      <c r="M29" s="1079"/>
      <c r="N29" s="1079"/>
      <c r="O29" s="1080"/>
      <c r="P29" s="624"/>
    </row>
    <row r="30" spans="1:16" ht="22.5" customHeight="1" x14ac:dyDescent="0.25">
      <c r="A30" s="574"/>
      <c r="B30" s="322"/>
      <c r="C30" s="1059"/>
      <c r="D30" s="982"/>
      <c r="E30" s="988"/>
      <c r="F30" s="988"/>
      <c r="G30" s="1072"/>
      <c r="H30" s="1073"/>
      <c r="I30" s="1074"/>
      <c r="J30" s="1081" t="s">
        <v>354</v>
      </c>
      <c r="K30" s="1082"/>
      <c r="L30" s="1082"/>
      <c r="M30" s="1082"/>
      <c r="N30" s="1082"/>
      <c r="O30" s="1083"/>
      <c r="P30" s="624"/>
    </row>
    <row r="31" spans="1:16" ht="17.25" thickBot="1" x14ac:dyDescent="0.3">
      <c r="A31" s="574"/>
      <c r="B31" s="322"/>
      <c r="C31" s="1060"/>
      <c r="D31" s="983"/>
      <c r="E31" s="569" t="s">
        <v>241</v>
      </c>
      <c r="F31" s="273" t="s">
        <v>242</v>
      </c>
      <c r="G31" s="1075"/>
      <c r="H31" s="1076"/>
      <c r="I31" s="1077"/>
      <c r="J31" s="1086">
        <v>1</v>
      </c>
      <c r="K31" s="1068"/>
      <c r="L31" s="1068">
        <v>2</v>
      </c>
      <c r="M31" s="1068"/>
      <c r="N31" s="1084">
        <v>3</v>
      </c>
      <c r="O31" s="1085"/>
      <c r="P31" s="624"/>
    </row>
    <row r="32" spans="1:16" ht="37.35" customHeight="1" x14ac:dyDescent="0.25">
      <c r="A32" s="574"/>
      <c r="B32" s="322"/>
      <c r="C32" s="274" t="s">
        <v>140</v>
      </c>
      <c r="D32" s="432"/>
      <c r="E32" s="489">
        <v>0.1</v>
      </c>
      <c r="F32" s="275">
        <v>0.3</v>
      </c>
      <c r="G32" s="993" t="s">
        <v>129</v>
      </c>
      <c r="H32" s="994"/>
      <c r="I32" s="995"/>
      <c r="J32" s="435"/>
      <c r="K32" s="489">
        <v>1</v>
      </c>
      <c r="L32" s="435"/>
      <c r="M32" s="489">
        <v>2</v>
      </c>
      <c r="N32" s="435"/>
      <c r="O32" s="205">
        <v>2.5</v>
      </c>
      <c r="P32" s="624"/>
    </row>
    <row r="33" spans="1:16" ht="35.1" customHeight="1" x14ac:dyDescent="0.25">
      <c r="A33" s="574"/>
      <c r="B33" s="322"/>
      <c r="C33" s="276" t="s">
        <v>130</v>
      </c>
      <c r="D33" s="433"/>
      <c r="E33" s="490">
        <v>0.3</v>
      </c>
      <c r="F33" s="277">
        <v>0.4</v>
      </c>
      <c r="G33" s="974" t="s">
        <v>238</v>
      </c>
      <c r="H33" s="975"/>
      <c r="I33" s="976"/>
      <c r="J33" s="436"/>
      <c r="K33" s="490">
        <v>1</v>
      </c>
      <c r="L33" s="436"/>
      <c r="M33" s="490">
        <v>1.8</v>
      </c>
      <c r="N33" s="436"/>
      <c r="O33" s="196">
        <v>2</v>
      </c>
      <c r="P33" s="624"/>
    </row>
    <row r="34" spans="1:16" ht="41.1" customHeight="1" x14ac:dyDescent="0.25">
      <c r="A34" s="574"/>
      <c r="B34" s="322"/>
      <c r="C34" s="276" t="s">
        <v>132</v>
      </c>
      <c r="D34" s="433"/>
      <c r="E34" s="490">
        <v>0.5</v>
      </c>
      <c r="F34" s="534">
        <v>0.5</v>
      </c>
      <c r="G34" s="974" t="s">
        <v>133</v>
      </c>
      <c r="H34" s="975"/>
      <c r="I34" s="976"/>
      <c r="J34" s="436"/>
      <c r="K34" s="490">
        <v>1</v>
      </c>
      <c r="L34" s="436"/>
      <c r="M34" s="490">
        <v>1.5</v>
      </c>
      <c r="N34" s="436"/>
      <c r="O34" s="196">
        <v>1.8</v>
      </c>
      <c r="P34" s="624"/>
    </row>
    <row r="35" spans="1:16" ht="35.1" customHeight="1" x14ac:dyDescent="0.25">
      <c r="A35" s="574"/>
      <c r="B35" s="322"/>
      <c r="C35" s="276" t="s">
        <v>134</v>
      </c>
      <c r="D35" s="433"/>
      <c r="E35" s="490">
        <v>0.7</v>
      </c>
      <c r="F35" s="277">
        <v>0.7</v>
      </c>
      <c r="G35" s="974" t="s">
        <v>135</v>
      </c>
      <c r="H35" s="975"/>
      <c r="I35" s="976"/>
      <c r="J35" s="436"/>
      <c r="K35" s="490">
        <v>1</v>
      </c>
      <c r="L35" s="436"/>
      <c r="M35" s="490">
        <v>1.3</v>
      </c>
      <c r="N35" s="436"/>
      <c r="O35" s="196">
        <v>1.4</v>
      </c>
      <c r="P35" s="624"/>
    </row>
    <row r="36" spans="1:16" ht="35.1" customHeight="1" x14ac:dyDescent="0.25">
      <c r="A36" s="574"/>
      <c r="B36" s="322"/>
      <c r="C36" s="276" t="s">
        <v>136</v>
      </c>
      <c r="D36" s="433"/>
      <c r="E36" s="490">
        <v>0.9</v>
      </c>
      <c r="F36" s="277">
        <v>0.9</v>
      </c>
      <c r="G36" s="974" t="s">
        <v>137</v>
      </c>
      <c r="H36" s="975"/>
      <c r="I36" s="976"/>
      <c r="J36" s="436"/>
      <c r="K36" s="490">
        <v>1</v>
      </c>
      <c r="L36" s="436"/>
      <c r="M36" s="490">
        <v>1.1000000000000001</v>
      </c>
      <c r="N36" s="436"/>
      <c r="O36" s="196">
        <v>1.1000000000000001</v>
      </c>
      <c r="P36" s="624"/>
    </row>
    <row r="37" spans="1:16" ht="36.75" customHeight="1" thickBot="1" x14ac:dyDescent="0.3">
      <c r="A37" s="574"/>
      <c r="B37" s="322"/>
      <c r="C37" s="278" t="s">
        <v>141</v>
      </c>
      <c r="D37" s="434"/>
      <c r="E37" s="491">
        <v>1</v>
      </c>
      <c r="F37" s="279">
        <v>1</v>
      </c>
      <c r="G37" s="977" t="s">
        <v>138</v>
      </c>
      <c r="H37" s="978"/>
      <c r="I37" s="979"/>
      <c r="J37" s="437"/>
      <c r="K37" s="491">
        <v>1</v>
      </c>
      <c r="L37" s="437"/>
      <c r="M37" s="491">
        <v>1</v>
      </c>
      <c r="N37" s="437"/>
      <c r="O37" s="200">
        <v>1</v>
      </c>
      <c r="P37" s="624"/>
    </row>
    <row r="38" spans="1:16" x14ac:dyDescent="0.25">
      <c r="A38" s="574"/>
      <c r="B38" s="322"/>
      <c r="C38" s="980" t="s">
        <v>239</v>
      </c>
      <c r="D38" s="980"/>
      <c r="E38" s="980"/>
      <c r="F38" s="980"/>
      <c r="G38" s="980"/>
      <c r="H38" s="980"/>
      <c r="I38" s="980"/>
      <c r="J38" s="212"/>
      <c r="K38" s="212"/>
      <c r="L38" s="212"/>
      <c r="M38" s="212"/>
      <c r="N38" s="212"/>
      <c r="O38" s="212"/>
      <c r="P38" s="624"/>
    </row>
    <row r="39" spans="1:16" ht="15.75" thickBot="1" x14ac:dyDescent="0.3">
      <c r="A39" s="574"/>
      <c r="B39" s="322"/>
      <c r="C39" s="253"/>
      <c r="D39" s="253"/>
      <c r="E39" s="253"/>
      <c r="F39" s="253"/>
      <c r="G39" s="253"/>
      <c r="H39" s="253"/>
      <c r="I39" s="253"/>
      <c r="J39" s="212"/>
      <c r="K39" s="212"/>
      <c r="L39" s="212"/>
      <c r="M39" s="212"/>
      <c r="N39" s="212"/>
      <c r="O39" s="212"/>
      <c r="P39" s="624"/>
    </row>
    <row r="40" spans="1:16" ht="40.5" customHeight="1" x14ac:dyDescent="0.25">
      <c r="A40" s="574"/>
      <c r="B40" s="322"/>
      <c r="C40" s="1095" t="s">
        <v>246</v>
      </c>
      <c r="D40" s="1096"/>
      <c r="E40" s="1096"/>
      <c r="F40" s="1096"/>
      <c r="G40" s="1097"/>
      <c r="H40" s="312"/>
      <c r="I40" s="531"/>
      <c r="J40" s="212"/>
      <c r="K40" s="212"/>
      <c r="L40" s="212"/>
      <c r="M40" s="212"/>
      <c r="N40" s="212"/>
      <c r="O40" s="212"/>
      <c r="P40" s="624"/>
    </row>
    <row r="41" spans="1:16" ht="29.25" customHeight="1" x14ac:dyDescent="0.25">
      <c r="A41" s="574"/>
      <c r="B41" s="322"/>
      <c r="C41" s="1093" t="s">
        <v>260</v>
      </c>
      <c r="D41" s="1094"/>
      <c r="E41" s="1094"/>
      <c r="F41" s="1033" t="str">
        <f>IF(D32="Ja",E32,IF(D33="ja",E33,IF(D34="ja",E34,IF(D35="ja",E35,IF(D36="ja",E36,IF(D37="ja",E37,"Må angi en verdi!"))))))</f>
        <v>Må angi en verdi!</v>
      </c>
      <c r="G41" s="1034"/>
      <c r="H41" s="321"/>
      <c r="I41" s="212"/>
      <c r="J41" s="212"/>
      <c r="K41" s="212"/>
      <c r="L41" s="212"/>
      <c r="M41" s="212"/>
      <c r="N41" s="212"/>
      <c r="O41" s="212"/>
      <c r="P41" s="624"/>
    </row>
    <row r="42" spans="1:16" ht="29.25" customHeight="1" x14ac:dyDescent="0.25">
      <c r="A42" s="574"/>
      <c r="B42" s="322"/>
      <c r="C42" s="1093" t="s">
        <v>259</v>
      </c>
      <c r="D42" s="1094"/>
      <c r="E42" s="1094"/>
      <c r="F42" s="1033" t="str">
        <f>IF(D32="Ja",F32,IF(D33="ja",F33,IF(D34="ja",F34,IF(D35="ja",F35,IF(D36="ja",F36,IF(D37="ja",F37,"Må angi en verdi!"))))))</f>
        <v>Må angi en verdi!</v>
      </c>
      <c r="G42" s="1034"/>
      <c r="H42" s="319"/>
      <c r="I42" s="212"/>
      <c r="J42" s="212"/>
      <c r="K42" s="212"/>
      <c r="L42" s="212"/>
      <c r="M42" s="212"/>
      <c r="N42" s="212"/>
      <c r="O42" s="212"/>
      <c r="P42" s="624"/>
    </row>
    <row r="43" spans="1:16" ht="29.25" customHeight="1" x14ac:dyDescent="0.25">
      <c r="A43" s="574"/>
      <c r="B43" s="322"/>
      <c r="C43" s="1093" t="s">
        <v>244</v>
      </c>
      <c r="D43" s="1094"/>
      <c r="E43" s="1094"/>
      <c r="F43" s="1031" t="str">
        <f>IF($J$32="ja",$K$32,IF($J$33="ja",$K$33,IF($J$34="ja",$K$34,IF($J$35="ja",$K$35,IF($J$36="ja",$K$36,IF($J$37="ja",$K$37,IF($L$32="ja",$M$32,IF($L$33="ja",$M$33,IF($L$34="ja",$M$34,IF($L$35="ja",$M$35,IF($L$36="ja",$M$36,IF($L$37="ja",$M$37,IF($N$32="ja",$O$32,IF($N$33="ja",$O$33,IF($N$34="ja",$O$34,IF($N$35="ja",$O$35,IF($N$36="ja",$O$36,IF($N$37="ja",$O$37,"Må angi en verdi!"))))))))))))))))))</f>
        <v>Må angi en verdi!</v>
      </c>
      <c r="G43" s="1032"/>
      <c r="H43" s="212"/>
      <c r="I43" s="212"/>
      <c r="J43" s="212"/>
      <c r="K43" s="212"/>
      <c r="L43" s="212"/>
      <c r="M43" s="212"/>
      <c r="N43" s="212"/>
      <c r="O43" s="212"/>
      <c r="P43" s="624"/>
    </row>
    <row r="44" spans="1:16" ht="29.25" customHeight="1" x14ac:dyDescent="0.25">
      <c r="A44" s="574"/>
      <c r="B44" s="322"/>
      <c r="C44" s="1093" t="s">
        <v>245</v>
      </c>
      <c r="D44" s="1094"/>
      <c r="E44" s="1094"/>
      <c r="F44" s="1033">
        <f>H16</f>
        <v>0</v>
      </c>
      <c r="G44" s="1034"/>
      <c r="H44" s="556"/>
      <c r="I44" s="531"/>
      <c r="J44" s="212"/>
      <c r="K44" s="212"/>
      <c r="L44" s="212"/>
      <c r="M44" s="212"/>
      <c r="N44" s="212"/>
      <c r="O44" s="212"/>
      <c r="P44" s="624"/>
    </row>
    <row r="45" spans="1:16" ht="29.25" customHeight="1" x14ac:dyDescent="0.25">
      <c r="A45" s="574"/>
      <c r="B45" s="322"/>
      <c r="C45" s="1103" t="s">
        <v>253</v>
      </c>
      <c r="D45" s="1104"/>
      <c r="E45" s="1104"/>
      <c r="F45" s="1035" t="str">
        <f>IF($F$41="Må angi en verdi","velg grad av stempelstrøm",IF($F$43="Må angi en verdi!","Velg faktor kammer",$F$41*$F$43*$F$44))</f>
        <v>Velg faktor kammer</v>
      </c>
      <c r="G45" s="1036"/>
      <c r="H45" s="556"/>
      <c r="I45" s="212"/>
      <c r="J45" s="212"/>
      <c r="K45" s="212"/>
      <c r="L45" s="212"/>
      <c r="M45" s="212"/>
      <c r="N45" s="212"/>
      <c r="O45" s="212"/>
      <c r="P45" s="624"/>
    </row>
    <row r="46" spans="1:16" ht="29.25" customHeight="1" thickBot="1" x14ac:dyDescent="0.3">
      <c r="A46" s="574"/>
      <c r="B46" s="322"/>
      <c r="C46" s="1101" t="s">
        <v>261</v>
      </c>
      <c r="D46" s="1102"/>
      <c r="E46" s="1102"/>
      <c r="F46" s="1037" t="str">
        <f>IF($F$42="Må angi en verdi","velg grad av stempelstrøm",IF($F$43="Må angi en verdi!","Velg faktor kammer",$F$42*$F$43*$F$44))</f>
        <v>Velg faktor kammer</v>
      </c>
      <c r="G46" s="1038"/>
      <c r="H46" s="556"/>
      <c r="I46" s="212"/>
      <c r="J46" s="212"/>
      <c r="K46" s="212"/>
      <c r="L46" s="212"/>
      <c r="M46" s="212"/>
      <c r="N46" s="212"/>
      <c r="O46" s="212"/>
      <c r="P46" s="624"/>
    </row>
    <row r="47" spans="1:16" ht="18.75" customHeight="1" thickBot="1" x14ac:dyDescent="0.3">
      <c r="A47" s="574"/>
      <c r="B47" s="322"/>
      <c r="C47" s="438"/>
      <c r="D47" s="438"/>
      <c r="E47" s="438"/>
      <c r="F47" s="439"/>
      <c r="G47" s="439"/>
      <c r="H47" s="556"/>
      <c r="I47" s="212"/>
      <c r="J47" s="212"/>
      <c r="K47" s="212"/>
      <c r="L47" s="212"/>
      <c r="M47" s="212"/>
      <c r="N47" s="212"/>
      <c r="O47" s="212"/>
      <c r="P47" s="624"/>
    </row>
    <row r="48" spans="1:16" ht="48.75" customHeight="1" thickBot="1" x14ac:dyDescent="0.3">
      <c r="A48" s="574"/>
      <c r="B48" s="322"/>
      <c r="C48" s="1105" t="s">
        <v>358</v>
      </c>
      <c r="D48" s="1106"/>
      <c r="E48" s="1106"/>
      <c r="F48" s="1106"/>
      <c r="G48" s="1107"/>
      <c r="H48" s="229"/>
      <c r="I48" s="229"/>
      <c r="J48" s="212"/>
      <c r="K48" s="212"/>
      <c r="L48" s="212"/>
      <c r="M48" s="212"/>
      <c r="N48" s="212"/>
      <c r="O48" s="212"/>
      <c r="P48" s="624"/>
    </row>
    <row r="49" spans="1:16" ht="54.75" customHeight="1" thickBot="1" x14ac:dyDescent="0.3">
      <c r="A49" s="574"/>
      <c r="B49" s="322"/>
      <c r="C49" s="1051" t="s">
        <v>250</v>
      </c>
      <c r="D49" s="1052"/>
      <c r="E49" s="1098" t="s">
        <v>433</v>
      </c>
      <c r="F49" s="1099"/>
      <c r="G49" s="1100"/>
      <c r="H49" s="212"/>
      <c r="I49" s="212"/>
      <c r="J49" s="212"/>
      <c r="K49" s="212"/>
      <c r="L49" s="212"/>
      <c r="M49" s="212"/>
      <c r="N49" s="212"/>
      <c r="O49" s="212"/>
      <c r="P49" s="624"/>
    </row>
    <row r="50" spans="1:16" s="263" customFormat="1" ht="17.25" customHeight="1" x14ac:dyDescent="0.25">
      <c r="A50" s="574"/>
      <c r="B50" s="323"/>
      <c r="C50" s="441" t="s">
        <v>249</v>
      </c>
      <c r="D50" s="442"/>
      <c r="E50" s="442"/>
      <c r="F50" s="442"/>
      <c r="G50" s="443"/>
      <c r="H50" s="212"/>
      <c r="I50" s="212"/>
      <c r="J50" s="212"/>
      <c r="K50" s="212"/>
      <c r="L50" s="212"/>
      <c r="M50" s="212"/>
      <c r="N50" s="212"/>
      <c r="O50" s="212"/>
      <c r="P50" s="624"/>
    </row>
    <row r="51" spans="1:16" s="263" customFormat="1" ht="17.25" customHeight="1" x14ac:dyDescent="0.25">
      <c r="A51" s="574"/>
      <c r="B51" s="323"/>
      <c r="C51" s="444" t="s">
        <v>365</v>
      </c>
      <c r="D51" s="440" t="s">
        <v>248</v>
      </c>
      <c r="E51" s="450" t="e">
        <f>IF(E49="Ved kombinasjon av målinger og beregninger (Cdose, Cut og TOC)",0.06*H12+0.36*H13+0.08*H13/H12-0.12,IF(E49="Ved målinger (Cdose, Ci og Cut)",H13-(H14/EXP(-E53*F46)),IF(E49="Ved beregninger (Cdose, TOC)",0.06*H12+0.36*H13+0.08*H13/H12-0.12,"")))</f>
        <v>#DIV/0!</v>
      </c>
      <c r="F51" s="440"/>
      <c r="G51" s="445"/>
      <c r="H51" s="212"/>
      <c r="I51" s="212"/>
      <c r="J51" s="212"/>
      <c r="K51" s="212"/>
      <c r="L51" s="212"/>
      <c r="M51" s="212"/>
      <c r="N51" s="212"/>
      <c r="O51" s="212"/>
      <c r="P51" s="624"/>
    </row>
    <row r="52" spans="1:16" s="263" customFormat="1" ht="17.25" customHeight="1" x14ac:dyDescent="0.25">
      <c r="A52" s="574"/>
      <c r="B52" s="323"/>
      <c r="C52" s="444" t="s">
        <v>263</v>
      </c>
      <c r="D52" s="440" t="s">
        <v>248</v>
      </c>
      <c r="E52" s="450" t="e">
        <f>IF((H13-E51)&lt;0,0,H13-E51)</f>
        <v>#DIV/0!</v>
      </c>
      <c r="F52" s="440"/>
      <c r="G52" s="445"/>
      <c r="H52" s="212"/>
      <c r="I52" s="212"/>
      <c r="J52" s="212"/>
      <c r="K52" s="212"/>
      <c r="L52" s="212"/>
      <c r="M52" s="212"/>
      <c r="N52" s="212"/>
      <c r="O52" s="212"/>
      <c r="P52" s="624"/>
    </row>
    <row r="53" spans="1:16" s="263" customFormat="1" ht="17.25" customHeight="1" x14ac:dyDescent="0.25">
      <c r="A53" s="574"/>
      <c r="B53" s="323"/>
      <c r="C53" s="444" t="s">
        <v>264</v>
      </c>
      <c r="D53" s="440"/>
      <c r="E53" s="450" t="e">
        <f>IF(E49="Ved kombinasjon av målinger og beregninger (Cdose, Cut og TOC)",-(LN(H14/E52))/F46,IF(E49="Ved målinger (Cdose, Ci og Cut)",-(LN(H14/H15))/F46,IF(E49="Ved beregninger (Cdose, TOC)",0.013*H12-0.04*E52-0.01*E52/H12+0.022,"")))</f>
        <v>#DIV/0!</v>
      </c>
      <c r="F53" s="440"/>
      <c r="G53" s="445"/>
      <c r="H53" s="212"/>
      <c r="I53" s="531"/>
      <c r="J53" s="212"/>
      <c r="K53" s="212"/>
      <c r="L53" s="212"/>
      <c r="M53" s="212"/>
      <c r="N53" s="212"/>
      <c r="O53" s="212"/>
      <c r="P53" s="624"/>
    </row>
    <row r="54" spans="1:16" s="263" customFormat="1" ht="28.5" customHeight="1" thickBot="1" x14ac:dyDescent="0.3">
      <c r="A54" s="574"/>
      <c r="B54" s="323"/>
      <c r="C54" s="446" t="s">
        <v>188</v>
      </c>
      <c r="D54" s="449" t="s">
        <v>247</v>
      </c>
      <c r="E54" s="448" t="e">
        <f>(E52/E53)*(1-EXP(-E53*F45))</f>
        <v>#DIV/0!</v>
      </c>
      <c r="F54" s="1043" t="s">
        <v>254</v>
      </c>
      <c r="G54" s="1044"/>
      <c r="H54" s="212"/>
      <c r="I54" s="212"/>
      <c r="J54" s="212"/>
      <c r="K54" s="212"/>
      <c r="L54" s="212"/>
      <c r="M54" s="212"/>
      <c r="N54" s="212"/>
      <c r="O54" s="212"/>
      <c r="P54" s="624"/>
    </row>
    <row r="55" spans="1:16" s="263" customFormat="1" ht="20.25" customHeight="1" x14ac:dyDescent="0.25">
      <c r="A55" s="574"/>
      <c r="B55" s="323"/>
      <c r="C55" s="470" t="s">
        <v>364</v>
      </c>
      <c r="D55" s="310"/>
      <c r="E55" s="468"/>
      <c r="F55" s="467"/>
      <c r="G55" s="467"/>
      <c r="H55" s="212"/>
      <c r="I55" s="212"/>
      <c r="J55" s="212"/>
      <c r="K55" s="212"/>
      <c r="L55" s="212"/>
      <c r="M55" s="212"/>
      <c r="N55" s="212"/>
      <c r="O55" s="212"/>
      <c r="P55" s="624"/>
    </row>
    <row r="56" spans="1:16" s="263" customFormat="1" ht="15.75" customHeight="1" x14ac:dyDescent="0.25">
      <c r="A56" s="574"/>
      <c r="B56" s="323"/>
      <c r="C56" s="471" t="s">
        <v>363</v>
      </c>
      <c r="D56" s="310"/>
      <c r="E56" s="468"/>
      <c r="F56" s="467"/>
      <c r="G56" s="467"/>
      <c r="H56" s="212"/>
      <c r="I56" s="212"/>
      <c r="J56" s="212"/>
      <c r="K56" s="212"/>
      <c r="L56" s="212"/>
      <c r="M56" s="212"/>
      <c r="N56" s="212"/>
      <c r="O56" s="212"/>
      <c r="P56" s="624"/>
    </row>
    <row r="57" spans="1:16" ht="24.75" customHeight="1" thickBot="1" x14ac:dyDescent="0.3">
      <c r="A57" s="574"/>
      <c r="B57" s="322"/>
      <c r="C57" s="469"/>
      <c r="D57" s="310"/>
      <c r="E57" s="468"/>
      <c r="F57" s="467"/>
      <c r="G57" s="467"/>
      <c r="H57" s="229"/>
      <c r="I57" s="212"/>
      <c r="J57" s="212"/>
      <c r="K57" s="212"/>
      <c r="L57" s="212"/>
      <c r="M57" s="212"/>
      <c r="N57" s="212"/>
      <c r="O57" s="212"/>
      <c r="P57" s="624"/>
    </row>
    <row r="58" spans="1:16" ht="30" customHeight="1" thickBot="1" x14ac:dyDescent="0.3">
      <c r="A58" s="574"/>
      <c r="B58" s="322"/>
      <c r="C58" s="1087" t="s">
        <v>336</v>
      </c>
      <c r="D58" s="1088"/>
      <c r="E58" s="1088"/>
      <c r="F58" s="1088"/>
      <c r="G58" s="1088"/>
      <c r="H58" s="1089"/>
      <c r="I58" s="212"/>
      <c r="J58" s="212"/>
      <c r="K58" s="212"/>
      <c r="L58" s="212"/>
      <c r="M58" s="212"/>
      <c r="N58" s="212"/>
      <c r="O58" s="212"/>
      <c r="P58" s="624"/>
    </row>
    <row r="59" spans="1:16" ht="30" x14ac:dyDescent="0.25">
      <c r="A59" s="574"/>
      <c r="B59" s="322"/>
      <c r="C59" s="1049"/>
      <c r="D59" s="1050"/>
      <c r="E59" s="567" t="s">
        <v>97</v>
      </c>
      <c r="F59" s="567" t="s">
        <v>98</v>
      </c>
      <c r="G59" s="510" t="s">
        <v>163</v>
      </c>
      <c r="H59" s="511" t="s">
        <v>171</v>
      </c>
      <c r="I59" s="212"/>
      <c r="J59" s="212"/>
      <c r="K59" s="322"/>
      <c r="L59" s="322"/>
      <c r="M59" s="322"/>
      <c r="N59" s="322"/>
      <c r="O59" s="322"/>
      <c r="P59" s="624"/>
    </row>
    <row r="60" spans="1:16" ht="18" customHeight="1" x14ac:dyDescent="0.25">
      <c r="A60" s="574"/>
      <c r="B60" s="322"/>
      <c r="C60" s="1047" t="s">
        <v>335</v>
      </c>
      <c r="D60" s="1048"/>
      <c r="E60" s="450">
        <v>4</v>
      </c>
      <c r="F60" s="450">
        <v>4</v>
      </c>
      <c r="G60" s="450">
        <v>3</v>
      </c>
      <c r="H60" s="533">
        <v>3</v>
      </c>
      <c r="I60" s="639"/>
      <c r="J60" s="212"/>
      <c r="K60" s="322"/>
      <c r="L60" s="322"/>
      <c r="M60" s="322"/>
      <c r="N60" s="322"/>
      <c r="O60" s="322"/>
      <c r="P60" s="624"/>
    </row>
    <row r="61" spans="1:16" ht="21.75" customHeight="1" x14ac:dyDescent="0.25">
      <c r="A61" s="574"/>
      <c r="B61" s="322"/>
      <c r="C61" s="1108" t="s">
        <v>255</v>
      </c>
      <c r="D61" s="1109"/>
      <c r="E61" s="450">
        <f>IF($F$9=0,0,3*$E$54/$F$9)</f>
        <v>0</v>
      </c>
      <c r="F61" s="450">
        <f>IF($G$9=0,0,3*$E$54/$G$9)</f>
        <v>0</v>
      </c>
      <c r="G61" s="450">
        <f>IF($H$9=0,0,2*$E$54/$H$9)</f>
        <v>0</v>
      </c>
      <c r="H61" s="533">
        <f>IF($I$9=0,0,2*$E$54/$I$9)</f>
        <v>0</v>
      </c>
      <c r="I61" s="212"/>
      <c r="J61" s="531"/>
      <c r="K61" s="322"/>
      <c r="L61" s="322"/>
      <c r="M61" s="322"/>
      <c r="N61" s="322"/>
      <c r="O61" s="322"/>
      <c r="P61" s="624"/>
    </row>
    <row r="62" spans="1:16" ht="38.1" customHeight="1" thickBot="1" x14ac:dyDescent="0.3">
      <c r="A62" s="574"/>
      <c r="B62" s="322"/>
      <c r="C62" s="1045" t="s">
        <v>337</v>
      </c>
      <c r="D62" s="1046"/>
      <c r="E62" s="448">
        <f>IF(E61&lt;4,E61,4)</f>
        <v>0</v>
      </c>
      <c r="F62" s="448">
        <f t="shared" ref="F62" si="0">IF(F61&lt;4,F61,4)</f>
        <v>0</v>
      </c>
      <c r="G62" s="448">
        <f>IF(G61&lt;3,G61,3)</f>
        <v>0</v>
      </c>
      <c r="H62" s="532">
        <f>IF(H61&lt;3,H61,3)</f>
        <v>0</v>
      </c>
      <c r="I62" s="513"/>
      <c r="J62" s="212"/>
      <c r="K62" s="212"/>
      <c r="L62" s="212"/>
      <c r="M62" s="212"/>
      <c r="N62" s="212"/>
      <c r="O62" s="212"/>
      <c r="P62" s="624"/>
    </row>
    <row r="63" spans="1:16" ht="15.75" thickBot="1" x14ac:dyDescent="0.3">
      <c r="A63" s="574"/>
      <c r="B63" s="322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624"/>
    </row>
    <row r="64" spans="1:16" ht="48" customHeight="1" thickBot="1" x14ac:dyDescent="0.3">
      <c r="A64" s="574"/>
      <c r="B64" s="1090" t="s">
        <v>461</v>
      </c>
      <c r="C64" s="1091"/>
      <c r="D64" s="1091"/>
      <c r="E64" s="1091"/>
      <c r="F64" s="1091"/>
      <c r="G64" s="1091"/>
      <c r="H64" s="1091"/>
      <c r="I64" s="1091"/>
      <c r="J64" s="1092"/>
      <c r="K64" s="322"/>
      <c r="L64" s="322"/>
      <c r="M64" s="322"/>
      <c r="N64" s="322"/>
      <c r="O64" s="322"/>
      <c r="P64" s="624"/>
    </row>
    <row r="65" spans="1:16" ht="15" customHeight="1" thickBot="1" x14ac:dyDescent="0.3">
      <c r="A65" s="574"/>
      <c r="B65" s="322"/>
      <c r="C65" s="322"/>
      <c r="D65" s="322"/>
      <c r="E65" s="322"/>
      <c r="F65" s="322"/>
      <c r="G65" s="322"/>
      <c r="H65" s="322"/>
      <c r="I65" s="322"/>
      <c r="J65" s="322"/>
      <c r="K65" s="322"/>
      <c r="L65" s="322"/>
      <c r="M65" s="322"/>
      <c r="N65" s="322"/>
      <c r="O65" s="322"/>
      <c r="P65" s="624"/>
    </row>
    <row r="66" spans="1:16" ht="60" x14ac:dyDescent="0.25">
      <c r="A66" s="574"/>
      <c r="B66" s="314" t="s">
        <v>37</v>
      </c>
      <c r="C66" s="451" t="s">
        <v>338</v>
      </c>
      <c r="D66" s="315" t="s">
        <v>12</v>
      </c>
      <c r="E66" s="316" t="s">
        <v>2</v>
      </c>
      <c r="F66" s="316" t="s">
        <v>341</v>
      </c>
      <c r="G66" s="317" t="s">
        <v>97</v>
      </c>
      <c r="H66" s="317" t="s">
        <v>98</v>
      </c>
      <c r="I66" s="571" t="s">
        <v>163</v>
      </c>
      <c r="J66" s="223" t="s">
        <v>171</v>
      </c>
      <c r="K66" s="139"/>
      <c r="L66" s="322"/>
      <c r="M66" s="322"/>
      <c r="N66" s="322"/>
      <c r="O66" s="322"/>
      <c r="P66" s="624"/>
    </row>
    <row r="67" spans="1:16" ht="33.75" customHeight="1" x14ac:dyDescent="0.25">
      <c r="A67" s="574"/>
      <c r="B67" s="285"/>
      <c r="C67" s="286" t="s">
        <v>213</v>
      </c>
      <c r="D67" s="287">
        <v>0.1</v>
      </c>
      <c r="E67" s="288"/>
      <c r="F67" s="289"/>
      <c r="G67" s="167">
        <f>-D67*E62</f>
        <v>0</v>
      </c>
      <c r="H67" s="514">
        <f>-D67*$F$62</f>
        <v>0</v>
      </c>
      <c r="I67" s="167">
        <f>-G62*$D$67</f>
        <v>0</v>
      </c>
      <c r="J67" s="552">
        <f>-H62*$D$67</f>
        <v>0</v>
      </c>
      <c r="K67" s="322"/>
      <c r="L67" s="322"/>
      <c r="M67" s="322"/>
      <c r="N67" s="322"/>
      <c r="O67" s="322"/>
      <c r="P67" s="624"/>
    </row>
    <row r="68" spans="1:16" ht="35.25" customHeight="1" x14ac:dyDescent="0.25">
      <c r="A68" s="574"/>
      <c r="B68" s="285" t="s">
        <v>38</v>
      </c>
      <c r="C68" s="286" t="s">
        <v>256</v>
      </c>
      <c r="D68" s="287">
        <v>0.1</v>
      </c>
      <c r="E68" s="419" t="s">
        <v>17</v>
      </c>
      <c r="F68" s="213">
        <f>IF(E68="nei",0,D68)</f>
        <v>0</v>
      </c>
      <c r="G68" s="290">
        <f>E62*$F$68</f>
        <v>0</v>
      </c>
      <c r="H68" s="515">
        <f>F62*$F$68</f>
        <v>0</v>
      </c>
      <c r="I68" s="167">
        <f>G62*$F$68</f>
        <v>0</v>
      </c>
      <c r="J68" s="516">
        <f>H62*$F$68</f>
        <v>0</v>
      </c>
      <c r="K68" s="322"/>
      <c r="L68" s="322"/>
      <c r="M68" s="322"/>
      <c r="N68" s="322"/>
      <c r="O68" s="322"/>
      <c r="P68" s="624"/>
    </row>
    <row r="69" spans="1:16" ht="34.5" customHeight="1" x14ac:dyDescent="0.25">
      <c r="A69" s="574"/>
      <c r="B69" s="285" t="s">
        <v>39</v>
      </c>
      <c r="C69" s="286" t="s">
        <v>257</v>
      </c>
      <c r="D69" s="287">
        <v>0.05</v>
      </c>
      <c r="E69" s="419" t="s">
        <v>17</v>
      </c>
      <c r="F69" s="213">
        <f>IF(E69="nei",0,D69)</f>
        <v>0</v>
      </c>
      <c r="G69" s="290">
        <f>E62*$F$69</f>
        <v>0</v>
      </c>
      <c r="H69" s="515">
        <f>F62*$F$69</f>
        <v>0</v>
      </c>
      <c r="I69" s="167">
        <f>G62*$F$69</f>
        <v>0</v>
      </c>
      <c r="J69" s="516">
        <f>H62*$F$69</f>
        <v>0</v>
      </c>
      <c r="K69" s="322"/>
      <c r="L69" s="322"/>
      <c r="M69" s="322"/>
      <c r="N69" s="322"/>
      <c r="O69" s="322"/>
      <c r="P69" s="624"/>
    </row>
    <row r="70" spans="1:16" ht="36" customHeight="1" thickBot="1" x14ac:dyDescent="0.3">
      <c r="A70" s="574"/>
      <c r="B70" s="1039" t="s">
        <v>9</v>
      </c>
      <c r="C70" s="1040"/>
      <c r="D70" s="291"/>
      <c r="E70" s="292"/>
      <c r="F70" s="293"/>
      <c r="G70" s="294">
        <f>IF(F68+F69&gt;10%,0,G67+G68+G69)</f>
        <v>0</v>
      </c>
      <c r="H70" s="294">
        <f>IF(F68+F69&gt;10%,0,H67+H68+H69)</f>
        <v>0</v>
      </c>
      <c r="I70" s="517">
        <f>IF(F68+F69&gt;10%,0,I67+I68+I69)</f>
        <v>0</v>
      </c>
      <c r="J70" s="295">
        <f>IF(F68+F69&gt;10%,0,J67+J68+J69)</f>
        <v>0</v>
      </c>
      <c r="K70" s="322"/>
      <c r="L70" s="322"/>
      <c r="M70" s="322"/>
      <c r="N70" s="322"/>
      <c r="O70" s="322"/>
      <c r="P70" s="624"/>
    </row>
    <row r="71" spans="1:16" ht="15.75" thickBot="1" x14ac:dyDescent="0.3">
      <c r="A71" s="574"/>
      <c r="B71" s="212"/>
      <c r="C71" s="311"/>
      <c r="D71" s="311"/>
      <c r="E71" s="229"/>
      <c r="F71" s="296"/>
      <c r="G71" s="212"/>
      <c r="H71" s="212"/>
      <c r="I71" s="212"/>
      <c r="J71" s="322"/>
      <c r="K71" s="322"/>
      <c r="L71" s="322"/>
      <c r="M71" s="322"/>
      <c r="N71" s="322"/>
      <c r="O71" s="322"/>
      <c r="P71" s="624"/>
    </row>
    <row r="72" spans="1:16" ht="63" customHeight="1" x14ac:dyDescent="0.25">
      <c r="A72" s="574"/>
      <c r="B72" s="314" t="s">
        <v>40</v>
      </c>
      <c r="C72" s="452" t="s">
        <v>339</v>
      </c>
      <c r="D72" s="315" t="s">
        <v>12</v>
      </c>
      <c r="E72" s="316" t="s">
        <v>2</v>
      </c>
      <c r="F72" s="316" t="str">
        <f>F66</f>
        <v>Reduksjon   i fratrekk</v>
      </c>
      <c r="G72" s="317" t="s">
        <v>97</v>
      </c>
      <c r="H72" s="317" t="s">
        <v>98</v>
      </c>
      <c r="I72" s="571" t="s">
        <v>163</v>
      </c>
      <c r="J72" s="223" t="s">
        <v>171</v>
      </c>
      <c r="K72" s="322"/>
      <c r="L72" s="322"/>
      <c r="M72" s="322"/>
      <c r="N72" s="322"/>
      <c r="O72" s="322"/>
      <c r="P72" s="624"/>
    </row>
    <row r="73" spans="1:16" ht="35.25" customHeight="1" x14ac:dyDescent="0.25">
      <c r="A73" s="574"/>
      <c r="B73" s="285"/>
      <c r="C73" s="286" t="s">
        <v>213</v>
      </c>
      <c r="D73" s="287">
        <v>0.15</v>
      </c>
      <c r="E73" s="289"/>
      <c r="F73" s="289"/>
      <c r="G73" s="167">
        <f>-$D$73*$E$62</f>
        <v>0</v>
      </c>
      <c r="H73" s="167">
        <f>-$D$73*$F$62</f>
        <v>0</v>
      </c>
      <c r="I73" s="167">
        <f>-$D$73*$G$62</f>
        <v>0</v>
      </c>
      <c r="J73" s="552">
        <f>-$D$73*$H$62</f>
        <v>0</v>
      </c>
      <c r="K73" s="322"/>
      <c r="L73" s="322"/>
      <c r="M73" s="322"/>
      <c r="N73" s="322"/>
      <c r="O73" s="322"/>
      <c r="P73" s="624"/>
    </row>
    <row r="74" spans="1:16" ht="33.75" customHeight="1" x14ac:dyDescent="0.25">
      <c r="A74" s="574"/>
      <c r="B74" s="285" t="s">
        <v>41</v>
      </c>
      <c r="C74" s="286" t="s">
        <v>342</v>
      </c>
      <c r="D74" s="287">
        <v>0.1</v>
      </c>
      <c r="E74" s="419" t="s">
        <v>17</v>
      </c>
      <c r="F74" s="213">
        <f>IF(E74="nei",0,D74)</f>
        <v>0</v>
      </c>
      <c r="G74" s="167">
        <f>E62*$F$74</f>
        <v>0</v>
      </c>
      <c r="H74" s="167">
        <f>F62*$F$74</f>
        <v>0</v>
      </c>
      <c r="I74" s="167">
        <f t="shared" ref="I74" si="1">G62*$F$74</f>
        <v>0</v>
      </c>
      <c r="J74" s="552">
        <f>H62*$F$74</f>
        <v>0</v>
      </c>
      <c r="K74" s="322"/>
      <c r="L74" s="322"/>
      <c r="M74" s="322"/>
      <c r="N74" s="322"/>
      <c r="O74" s="322"/>
      <c r="P74" s="624"/>
    </row>
    <row r="75" spans="1:16" ht="34.5" customHeight="1" x14ac:dyDescent="0.25">
      <c r="A75" s="574"/>
      <c r="B75" s="285" t="s">
        <v>42</v>
      </c>
      <c r="C75" s="286" t="s">
        <v>27</v>
      </c>
      <c r="D75" s="287">
        <v>0.05</v>
      </c>
      <c r="E75" s="419" t="s">
        <v>17</v>
      </c>
      <c r="F75" s="213">
        <f>IF(E75="nei",0,D75)</f>
        <v>0</v>
      </c>
      <c r="G75" s="167">
        <f>E62*$F$75</f>
        <v>0</v>
      </c>
      <c r="H75" s="167">
        <f t="shared" ref="H75:I75" si="2">F62*$F$75</f>
        <v>0</v>
      </c>
      <c r="I75" s="167">
        <f t="shared" si="2"/>
        <v>0</v>
      </c>
      <c r="J75" s="552">
        <f>H62*$F$75</f>
        <v>0</v>
      </c>
      <c r="K75" s="322"/>
      <c r="L75" s="322"/>
      <c r="M75" s="322"/>
      <c r="N75" s="322"/>
      <c r="O75" s="322"/>
      <c r="P75" s="624"/>
    </row>
    <row r="76" spans="1:16" ht="92.25" customHeight="1" x14ac:dyDescent="0.25">
      <c r="A76" s="574"/>
      <c r="B76" s="285" t="s">
        <v>43</v>
      </c>
      <c r="C76" s="286" t="s">
        <v>340</v>
      </c>
      <c r="D76" s="287">
        <v>0.1</v>
      </c>
      <c r="E76" s="419" t="s">
        <v>17</v>
      </c>
      <c r="F76" s="213">
        <f>IF(E76="nei",0,D76)</f>
        <v>0</v>
      </c>
      <c r="G76" s="167">
        <f>E62*$F$76</f>
        <v>0</v>
      </c>
      <c r="H76" s="167">
        <f>F62*$F$76</f>
        <v>0</v>
      </c>
      <c r="I76" s="167">
        <f>G62*$F$76</f>
        <v>0</v>
      </c>
      <c r="J76" s="552">
        <f>H62*$F$76</f>
        <v>0</v>
      </c>
      <c r="K76" s="322"/>
      <c r="L76" s="322"/>
      <c r="M76" s="322"/>
      <c r="N76" s="322"/>
      <c r="O76" s="322"/>
      <c r="P76" s="624"/>
    </row>
    <row r="77" spans="1:16" ht="35.25" customHeight="1" thickBot="1" x14ac:dyDescent="0.3">
      <c r="A77" s="574"/>
      <c r="B77" s="1039" t="s">
        <v>10</v>
      </c>
      <c r="C77" s="1040"/>
      <c r="D77" s="297"/>
      <c r="E77" s="297"/>
      <c r="F77" s="298"/>
      <c r="G77" s="294">
        <f>IF(SUM(G73:G76)&gt;0,"0.00",SUM(G73:G76))</f>
        <v>0</v>
      </c>
      <c r="H77" s="294">
        <f>IF(SUM(H73:H76)&gt;0,"0.00",SUM(H73:H76))</f>
        <v>0</v>
      </c>
      <c r="I77" s="294">
        <f>IF(SUM(I73:I76)&gt;0,"0.00",SUM(I73:I76))</f>
        <v>0</v>
      </c>
      <c r="J77" s="518">
        <f>IF(SUM(J73:J76)&gt;0,"0.00",SUM(J73:J76))</f>
        <v>0</v>
      </c>
      <c r="K77" s="519"/>
      <c r="L77" s="322"/>
      <c r="M77" s="322"/>
      <c r="N77" s="322"/>
      <c r="O77" s="322"/>
      <c r="P77" s="624"/>
    </row>
    <row r="78" spans="1:16" ht="15.75" thickBot="1" x14ac:dyDescent="0.3">
      <c r="A78" s="574"/>
      <c r="B78" s="300"/>
      <c r="C78" s="311"/>
      <c r="D78" s="311"/>
      <c r="E78" s="311"/>
      <c r="F78" s="311"/>
      <c r="G78" s="301"/>
      <c r="H78" s="301"/>
      <c r="I78" s="301"/>
      <c r="J78" s="322"/>
      <c r="K78" s="322"/>
      <c r="L78" s="322"/>
      <c r="M78" s="322"/>
      <c r="N78" s="322"/>
      <c r="O78" s="322"/>
      <c r="P78" s="624"/>
    </row>
    <row r="79" spans="1:16" ht="60" x14ac:dyDescent="0.25">
      <c r="A79" s="574"/>
      <c r="B79" s="314" t="s">
        <v>44</v>
      </c>
      <c r="C79" s="318" t="s">
        <v>14</v>
      </c>
      <c r="D79" s="316" t="s">
        <v>465</v>
      </c>
      <c r="E79" s="316" t="s">
        <v>2</v>
      </c>
      <c r="F79" s="316" t="str">
        <f>F66</f>
        <v>Reduksjon   i fratrekk</v>
      </c>
      <c r="G79" s="317" t="s">
        <v>97</v>
      </c>
      <c r="H79" s="317" t="s">
        <v>98</v>
      </c>
      <c r="I79" s="571" t="s">
        <v>163</v>
      </c>
      <c r="J79" s="223" t="s">
        <v>171</v>
      </c>
      <c r="K79" s="322"/>
      <c r="L79" s="322"/>
      <c r="M79" s="322"/>
      <c r="N79" s="322"/>
      <c r="O79" s="322"/>
      <c r="P79" s="624"/>
    </row>
    <row r="80" spans="1:16" ht="33" customHeight="1" x14ac:dyDescent="0.25">
      <c r="A80" s="574"/>
      <c r="B80" s="285"/>
      <c r="C80" s="286" t="s">
        <v>213</v>
      </c>
      <c r="D80" s="287">
        <v>0.1</v>
      </c>
      <c r="E80" s="287"/>
      <c r="F80" s="287"/>
      <c r="G80" s="167">
        <f>-$D$73*$E$62</f>
        <v>0</v>
      </c>
      <c r="H80" s="167">
        <f>-$D$73*$F$62</f>
        <v>0</v>
      </c>
      <c r="I80" s="167">
        <f>-$D$80*$G$62</f>
        <v>0</v>
      </c>
      <c r="J80" s="552">
        <f>-$D$80*$H$62</f>
        <v>0</v>
      </c>
      <c r="K80" s="322"/>
      <c r="L80" s="322"/>
      <c r="M80" s="322"/>
      <c r="N80" s="322"/>
      <c r="O80" s="322"/>
      <c r="P80" s="624"/>
    </row>
    <row r="81" spans="1:16" ht="33" customHeight="1" x14ac:dyDescent="0.25">
      <c r="A81" s="574"/>
      <c r="B81" s="285" t="s">
        <v>45</v>
      </c>
      <c r="C81" s="286" t="s">
        <v>401</v>
      </c>
      <c r="D81" s="287">
        <v>0.05</v>
      </c>
      <c r="E81" s="419" t="s">
        <v>17</v>
      </c>
      <c r="F81" s="213">
        <f>IF(E81="nei",0,D81)</f>
        <v>0</v>
      </c>
      <c r="G81" s="167">
        <f>E62*$F$81</f>
        <v>0</v>
      </c>
      <c r="H81" s="167">
        <f t="shared" ref="H81:I81" si="3">F62*$F$81</f>
        <v>0</v>
      </c>
      <c r="I81" s="167">
        <f t="shared" si="3"/>
        <v>0</v>
      </c>
      <c r="J81" s="552">
        <f>H62*$F$81</f>
        <v>0</v>
      </c>
      <c r="K81" s="322"/>
      <c r="L81" s="322"/>
      <c r="M81" s="322"/>
      <c r="N81" s="322"/>
      <c r="O81" s="322"/>
      <c r="P81" s="624"/>
    </row>
    <row r="82" spans="1:16" ht="36" customHeight="1" x14ac:dyDescent="0.25">
      <c r="A82" s="574"/>
      <c r="B82" s="285" t="s">
        <v>46</v>
      </c>
      <c r="C82" s="286" t="s">
        <v>258</v>
      </c>
      <c r="D82" s="287">
        <v>0.05</v>
      </c>
      <c r="E82" s="419" t="s">
        <v>17</v>
      </c>
      <c r="F82" s="213">
        <f>IF(E82="nei",0,D82)</f>
        <v>0</v>
      </c>
      <c r="G82" s="167">
        <f>E62*$F$82</f>
        <v>0</v>
      </c>
      <c r="H82" s="167">
        <f>F62*$F$82</f>
        <v>0</v>
      </c>
      <c r="I82" s="167">
        <f>G62*$F$82</f>
        <v>0</v>
      </c>
      <c r="J82" s="552">
        <f>H62*$F$82</f>
        <v>0</v>
      </c>
      <c r="K82" s="322"/>
      <c r="L82" s="322"/>
      <c r="M82" s="322"/>
      <c r="N82" s="322"/>
      <c r="O82" s="322"/>
      <c r="P82" s="624"/>
    </row>
    <row r="83" spans="1:16" ht="51" customHeight="1" x14ac:dyDescent="0.25">
      <c r="A83" s="574"/>
      <c r="B83" s="285" t="s">
        <v>47</v>
      </c>
      <c r="C83" s="286" t="s">
        <v>361</v>
      </c>
      <c r="D83" s="287">
        <v>0.05</v>
      </c>
      <c r="E83" s="419" t="s">
        <v>17</v>
      </c>
      <c r="F83" s="213">
        <f>IF(E83="nei",0,D83)</f>
        <v>0</v>
      </c>
      <c r="G83" s="167">
        <f>E62*$F$83</f>
        <v>0</v>
      </c>
      <c r="H83" s="167">
        <f>F62*$F$83</f>
        <v>0</v>
      </c>
      <c r="I83" s="167">
        <f>G62*$F$83</f>
        <v>0</v>
      </c>
      <c r="J83" s="552">
        <f>H62*$F$83</f>
        <v>0</v>
      </c>
      <c r="K83" s="322"/>
      <c r="L83" s="322"/>
      <c r="M83" s="322"/>
      <c r="N83" s="322"/>
      <c r="O83" s="322"/>
      <c r="P83" s="624"/>
    </row>
    <row r="84" spans="1:16" ht="32.25" customHeight="1" thickBot="1" x14ac:dyDescent="0.3">
      <c r="A84" s="574"/>
      <c r="B84" s="1041" t="s">
        <v>11</v>
      </c>
      <c r="C84" s="1042"/>
      <c r="D84" s="302"/>
      <c r="E84" s="302"/>
      <c r="F84" s="303"/>
      <c r="G84" s="294">
        <f>IF(SUM(G80:G83)&gt;0,"0.00",SUM(G80:G83))</f>
        <v>0</v>
      </c>
      <c r="H84" s="294">
        <f>IF(SUM(H80:H83)&gt;0,"0.00",SUM(H80:H83))</f>
        <v>0</v>
      </c>
      <c r="I84" s="294">
        <f>IF(SUM(I80:I83)&gt;0,"0.00",SUM(I80:I83))</f>
        <v>0</v>
      </c>
      <c r="J84" s="295">
        <f>IF(SUM(J80:J83)&gt;0,"0.00",SUM(J80:J83))</f>
        <v>0</v>
      </c>
      <c r="K84" s="322"/>
      <c r="L84" s="322"/>
      <c r="M84" s="322"/>
      <c r="N84" s="322"/>
      <c r="O84" s="322"/>
      <c r="P84" s="624"/>
    </row>
    <row r="85" spans="1:16" ht="15.75" thickBot="1" x14ac:dyDescent="0.3">
      <c r="A85" s="574"/>
      <c r="B85" s="212"/>
      <c r="C85" s="212"/>
      <c r="D85" s="212"/>
      <c r="E85" s="212"/>
      <c r="F85" s="212"/>
      <c r="G85" s="212"/>
      <c r="H85" s="212"/>
      <c r="I85" s="212"/>
      <c r="J85" s="322"/>
      <c r="K85" s="322"/>
      <c r="L85" s="322"/>
      <c r="M85" s="322"/>
      <c r="N85" s="322"/>
      <c r="O85" s="322"/>
      <c r="P85" s="624"/>
    </row>
    <row r="86" spans="1:16" ht="29.25" customHeight="1" x14ac:dyDescent="0.25">
      <c r="A86" s="574"/>
      <c r="B86" s="1029" t="s">
        <v>345</v>
      </c>
      <c r="C86" s="1030"/>
      <c r="D86" s="1030"/>
      <c r="E86" s="1030"/>
      <c r="F86" s="1030"/>
      <c r="G86" s="317" t="s">
        <v>97</v>
      </c>
      <c r="H86" s="317" t="s">
        <v>98</v>
      </c>
      <c r="I86" s="571" t="s">
        <v>163</v>
      </c>
      <c r="J86" s="223" t="s">
        <v>171</v>
      </c>
      <c r="K86" s="322"/>
      <c r="L86" s="322"/>
      <c r="M86" s="322"/>
      <c r="N86" s="322"/>
      <c r="O86" s="322"/>
      <c r="P86" s="624"/>
    </row>
    <row r="87" spans="1:16" ht="33.75" customHeight="1" x14ac:dyDescent="0.25">
      <c r="A87" s="574"/>
      <c r="B87" s="1053" t="s">
        <v>343</v>
      </c>
      <c r="C87" s="1054"/>
      <c r="D87" s="1054"/>
      <c r="E87" s="1054"/>
      <c r="F87" s="1055"/>
      <c r="G87" s="453">
        <f>E62</f>
        <v>0</v>
      </c>
      <c r="H87" s="453">
        <f>F62</f>
        <v>0</v>
      </c>
      <c r="I87" s="453">
        <f>G62</f>
        <v>0</v>
      </c>
      <c r="J87" s="520">
        <f>H62</f>
        <v>0</v>
      </c>
      <c r="K87" s="322"/>
      <c r="L87" s="322"/>
      <c r="M87" s="322"/>
      <c r="N87" s="322"/>
      <c r="O87" s="322"/>
      <c r="P87" s="624"/>
    </row>
    <row r="88" spans="1:16" ht="33" customHeight="1" x14ac:dyDescent="0.25">
      <c r="A88" s="574"/>
      <c r="B88" s="1025" t="s">
        <v>344</v>
      </c>
      <c r="C88" s="1026"/>
      <c r="D88" s="1026"/>
      <c r="E88" s="1026"/>
      <c r="F88" s="1026"/>
      <c r="G88" s="453">
        <f>SUM(G70,G77,G84)</f>
        <v>0</v>
      </c>
      <c r="H88" s="453">
        <f>SUM(H70,H77,H84)</f>
        <v>0</v>
      </c>
      <c r="I88" s="453">
        <f>SUM(I70,I77,I84)</f>
        <v>0</v>
      </c>
      <c r="J88" s="520">
        <f>SUM(J70,J77,J84)</f>
        <v>0</v>
      </c>
      <c r="K88" s="322"/>
      <c r="L88" s="322"/>
      <c r="M88" s="322"/>
      <c r="N88" s="322"/>
      <c r="O88" s="322"/>
      <c r="P88" s="624"/>
    </row>
    <row r="89" spans="1:16" ht="47.25" customHeight="1" thickBot="1" x14ac:dyDescent="0.3">
      <c r="A89" s="574"/>
      <c r="B89" s="1027" t="s">
        <v>399</v>
      </c>
      <c r="C89" s="1028"/>
      <c r="D89" s="1028"/>
      <c r="E89" s="1028"/>
      <c r="F89" s="1028"/>
      <c r="G89" s="149">
        <f>G87+G88</f>
        <v>0</v>
      </c>
      <c r="H89" s="149">
        <f t="shared" ref="H89:I89" si="4">H87+H88</f>
        <v>0</v>
      </c>
      <c r="I89" s="149">
        <f t="shared" si="4"/>
        <v>0</v>
      </c>
      <c r="J89" s="521">
        <f t="shared" ref="J89" si="5">J87+J88</f>
        <v>0</v>
      </c>
      <c r="K89" s="322"/>
      <c r="L89" s="322"/>
      <c r="M89" s="322"/>
      <c r="N89" s="322"/>
      <c r="O89" s="322"/>
      <c r="P89" s="624"/>
    </row>
    <row r="90" spans="1:16" x14ac:dyDescent="0.25">
      <c r="A90" s="574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22"/>
      <c r="O90" s="322"/>
      <c r="P90" s="624"/>
    </row>
    <row r="91" spans="1:16" x14ac:dyDescent="0.25">
      <c r="A91" s="574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22"/>
      <c r="O91" s="322"/>
      <c r="P91" s="624"/>
    </row>
    <row r="92" spans="1:16" x14ac:dyDescent="0.25">
      <c r="A92" s="574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22"/>
      <c r="O92" s="322"/>
      <c r="P92" s="624"/>
    </row>
    <row r="93" spans="1:16" x14ac:dyDescent="0.25">
      <c r="A93" s="633"/>
      <c r="B93" s="634"/>
      <c r="C93" s="634"/>
      <c r="D93" s="634"/>
      <c r="E93" s="634"/>
      <c r="F93" s="634"/>
      <c r="G93" s="634"/>
      <c r="H93" s="634"/>
      <c r="I93" s="634"/>
      <c r="J93" s="634"/>
      <c r="K93" s="634"/>
      <c r="L93" s="634"/>
      <c r="M93" s="634"/>
      <c r="N93" s="634"/>
      <c r="O93" s="634"/>
      <c r="P93" s="635"/>
    </row>
  </sheetData>
  <sheetProtection algorithmName="SHA-512" hashValue="telhxCLtpR+n1CS1UI7Z19g6NM+w8Ofx01wB4UtKcfopyc7EEMLqKoFUnxWCzdmzWI1P2S/Yh7uAh1A0JZhUtw==" saltValue="JZcV1nNDoBJi6JsrNJOzgw==" spinCount="100000" sheet="1" selectLockedCells="1"/>
  <protectedRanges>
    <protectedRange sqref="E49:G49" name="Range1"/>
  </protectedRanges>
  <mergeCells count="74">
    <mergeCell ref="C58:H58"/>
    <mergeCell ref="B64:J64"/>
    <mergeCell ref="C42:E42"/>
    <mergeCell ref="C41:E41"/>
    <mergeCell ref="C40:G40"/>
    <mergeCell ref="F41:G41"/>
    <mergeCell ref="F42:G42"/>
    <mergeCell ref="E49:G49"/>
    <mergeCell ref="C43:E43"/>
    <mergeCell ref="C46:E46"/>
    <mergeCell ref="C45:E45"/>
    <mergeCell ref="C44:E44"/>
    <mergeCell ref="C48:G48"/>
    <mergeCell ref="C61:D61"/>
    <mergeCell ref="L31:M31"/>
    <mergeCell ref="G35:I35"/>
    <mergeCell ref="G29:I31"/>
    <mergeCell ref="J29:O29"/>
    <mergeCell ref="J30:O30"/>
    <mergeCell ref="N31:O31"/>
    <mergeCell ref="G33:I33"/>
    <mergeCell ref="G34:I34"/>
    <mergeCell ref="J31:K31"/>
    <mergeCell ref="J20:K20"/>
    <mergeCell ref="J21:K21"/>
    <mergeCell ref="H21:I21"/>
    <mergeCell ref="C29:C31"/>
    <mergeCell ref="C9:E9"/>
    <mergeCell ref="C12:G12"/>
    <mergeCell ref="C13:G13"/>
    <mergeCell ref="C14:G14"/>
    <mergeCell ref="C16:G16"/>
    <mergeCell ref="C15:G15"/>
    <mergeCell ref="B88:F88"/>
    <mergeCell ref="B89:F89"/>
    <mergeCell ref="B86:F86"/>
    <mergeCell ref="F43:G43"/>
    <mergeCell ref="F44:G44"/>
    <mergeCell ref="F45:G45"/>
    <mergeCell ref="F46:G46"/>
    <mergeCell ref="B70:C70"/>
    <mergeCell ref="B77:C77"/>
    <mergeCell ref="B84:C84"/>
    <mergeCell ref="F54:G54"/>
    <mergeCell ref="C62:D62"/>
    <mergeCell ref="C60:D60"/>
    <mergeCell ref="C59:D59"/>
    <mergeCell ref="C49:D49"/>
    <mergeCell ref="B87:F87"/>
    <mergeCell ref="C5:I5"/>
    <mergeCell ref="E2:I2"/>
    <mergeCell ref="E3:I3"/>
    <mergeCell ref="C11:I11"/>
    <mergeCell ref="C6:D6"/>
    <mergeCell ref="C10:D10"/>
    <mergeCell ref="C2:D2"/>
    <mergeCell ref="C3:D3"/>
    <mergeCell ref="C7:E8"/>
    <mergeCell ref="G36:I36"/>
    <mergeCell ref="G37:I37"/>
    <mergeCell ref="C38:I38"/>
    <mergeCell ref="D29:D31"/>
    <mergeCell ref="C18:K18"/>
    <mergeCell ref="J19:K19"/>
    <mergeCell ref="E29:F30"/>
    <mergeCell ref="H19:I19"/>
    <mergeCell ref="H20:I20"/>
    <mergeCell ref="C19:C22"/>
    <mergeCell ref="G32:I32"/>
    <mergeCell ref="C26:K26"/>
    <mergeCell ref="F21:G21"/>
    <mergeCell ref="D21:E21"/>
    <mergeCell ref="D19:E20"/>
    <mergeCell ref="F19:G20"/>
  </mergeCells>
  <conditionalFormatting sqref="F74">
    <cfRule type="cellIs" dxfId="7" priority="4" operator="greaterThan">
      <formula>0</formula>
    </cfRule>
  </conditionalFormatting>
  <conditionalFormatting sqref="F75">
    <cfRule type="cellIs" dxfId="6" priority="3" operator="greaterThan">
      <formula>0</formula>
    </cfRule>
  </conditionalFormatting>
  <conditionalFormatting sqref="F76">
    <cfRule type="cellIs" dxfId="5" priority="2" operator="greaterThan">
      <formula>0</formula>
    </cfRule>
  </conditionalFormatting>
  <conditionalFormatting sqref="F81:F83">
    <cfRule type="cellIs" dxfId="4" priority="1" operator="greaterThan">
      <formula>0</formula>
    </cfRule>
  </conditionalFormatting>
  <printOptions horizontalCentered="1" verticalCentered="1"/>
  <pageMargins left="0.78740157480314965" right="0.78740157480314965" top="1.1811023622047245" bottom="0.98425196850393704" header="0.51181102362204722" footer="0.51181102362204722"/>
  <pageSetup paperSize="8" scale="80" orientation="portrait" r:id="rId1"/>
  <headerFooter>
    <oddHeader>&amp;L&amp;"Times New Roman,Halvfet"&amp;16Microbial barrier analysis (MBA)
Operational tool&amp;C&amp;"Times New Roman,Halvfet"&amp;16&amp;A&amp;R&amp;"Times New Roman,Halvfet"&amp;16Page &amp;P of &amp;N
&amp;D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key!$A$2</xm:f>
          </x14:formula1>
          <xm:sqref>D32:D37 J32:J37 L32:L37 N32:N37</xm:sqref>
        </x14:dataValidation>
        <x14:dataValidation type="list" allowBlank="1" showInputMessage="1" showErrorMessage="1">
          <x14:formula1>
            <xm:f>key!$A$2:$A$3</xm:f>
          </x14:formula1>
          <xm:sqref>E68:E69 E74:E76 E81:E83</xm:sqref>
        </x14:dataValidation>
        <x14:dataValidation type="list" allowBlank="1" showInputMessage="1" showErrorMessage="1">
          <x14:formula1>
            <xm:f>key!$A$45:$A$47</xm:f>
          </x14:formula1>
          <xm:sqref>E49</xm:sqref>
        </x14:dataValidation>
        <x14:dataValidation type="list" allowBlank="1" showInputMessage="1" showErrorMessage="1">
          <x14:formula1>
            <xm:f>key!$A$22:$A$28</xm:f>
          </x14:formula1>
          <xm:sqref>C9:E9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Navngitte områder</vt:lpstr>
      </vt:variant>
      <vt:variant>
        <vt:i4>4</vt:i4>
      </vt:variant>
    </vt:vector>
  </HeadingPairs>
  <TitlesOfParts>
    <vt:vector size="19" baseType="lpstr">
      <vt:lpstr>Innledning</vt:lpstr>
      <vt:lpstr>Start</vt:lpstr>
      <vt:lpstr>Innsjø</vt:lpstr>
      <vt:lpstr>Grunnvann</vt:lpstr>
      <vt:lpstr>Infiltrasjon</vt:lpstr>
      <vt:lpstr>VB utover desinf. (prosess 1) </vt:lpstr>
      <vt:lpstr>VB utover desinf. (prosess 2) </vt:lpstr>
      <vt:lpstr>UV</vt:lpstr>
      <vt:lpstr>Klor</vt:lpstr>
      <vt:lpstr>Klordioksid</vt:lpstr>
      <vt:lpstr>Ozon</vt:lpstr>
      <vt:lpstr>Oppsummering</vt:lpstr>
      <vt:lpstr>tab 3.3</vt:lpstr>
      <vt:lpstr>key</vt:lpstr>
      <vt:lpstr>key 2</vt:lpstr>
      <vt:lpstr>Grunnvann!Utskriftsområde</vt:lpstr>
      <vt:lpstr>Innsjø!Utskriftsområde</vt:lpstr>
      <vt:lpstr>Oppsummering!Utskriftsområde</vt:lpstr>
      <vt:lpstr>Start!Utskriftsområde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Optimal desinfeksjonspraksis</dc:title>
  <dc:subject>Norsk Vann rapport 170/2009</dc:subject>
  <dc:creator>Asle Aasen</dc:creator>
  <cp:keywords>Desinfeksjon</cp:keywords>
  <cp:lastModifiedBy>Aasen, Asle</cp:lastModifiedBy>
  <cp:lastPrinted>2018-07-04T11:09:40Z</cp:lastPrinted>
  <dcterms:created xsi:type="dcterms:W3CDTF">2009-04-08T15:39:51Z</dcterms:created>
  <dcterms:modified xsi:type="dcterms:W3CDTF">2020-11-26T07:24:50Z</dcterms:modified>
  <cp:category>Vannforsyning</cp:category>
</cp:coreProperties>
</file>